
<file path=[Content_Types].xml><?xml version="1.0" encoding="utf-8"?>
<Types xmlns="http://schemas.openxmlformats.org/package/2006/content-types">
  <Override PartName="/xl/charts/chart6.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embeddings/oleObject6.bin" ContentType="application/vnd.openxmlformats-officedocument.oleObject"/>
  <Override PartName="/xl/drawings/drawing6.xml" ContentType="application/vnd.openxmlformats-officedocument.drawing+xml"/>
  <Override PartName="/xl/worksheets/sheet7.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ml.chartshapes+xml"/>
  <Override PartName="/xl/embeddings/oleObject4.bin" ContentType="application/vnd.openxmlformats-officedocument.oleObject"/>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harts/chart18.xml" ContentType="application/vnd.openxmlformats-officedocument.drawingml.chart+xml"/>
  <Override PartName="/xl/charts/chart19.xml" ContentType="application/vnd.openxmlformats-officedocument.drawingml.char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charts/chart7.xml" ContentType="application/vnd.openxmlformats-officedocument.drawingml.chart+xml"/>
  <Override PartName="/xl/charts/chart10.xml" ContentType="application/vnd.openxmlformats-officedocument.drawingml.chart+xml"/>
  <Override PartName="/xl/embeddings/oleObject7.bin" ContentType="application/vnd.openxmlformats-officedocument.oleObject"/>
  <Override PartName="/xl/charts/chart5.xml" ContentType="application/vnd.openxmlformats-officedocument.drawingml.chart+xml"/>
  <Override PartName="/xl/embeddings/oleObject5.bin" ContentType="application/vnd.openxmlformats-officedocument.oleObject"/>
  <Override PartName="/xl/worksheets/sheet6.xml" ContentType="application/vnd.openxmlformats-officedocument.spreadsheetml.worksheet+xml"/>
  <Override PartName="/xl/worksheets/sheet8.xml" ContentType="application/vnd.openxmlformats-officedocument.spreadsheetml.worksheet+xml"/>
  <Override PartName="/xl/charts/chart3.xml" ContentType="application/vnd.openxmlformats-officedocument.drawingml.chart+xml"/>
  <Default Extension="emf" ContentType="image/x-emf"/>
  <Override PartName="/xl/drawings/drawing5.xml" ContentType="application/vnd.openxmlformats-officedocument.drawing+xml"/>
  <Override PartName="/xl/embeddings/oleObject3.bin" ContentType="application/vnd.openxmlformats-officedocument.oleObject"/>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4805" windowHeight="8010" tabRatio="861" firstSheet="2" activeTab="3"/>
  </bookViews>
  <sheets>
    <sheet name="Data" sheetId="1" r:id="rId1"/>
    <sheet name="Financial Data" sheetId="8" r:id="rId2"/>
    <sheet name="Security Analysis" sheetId="7" r:id="rId3"/>
    <sheet name="Matrix" sheetId="9" r:id="rId4"/>
    <sheet name="Estimating Beta" sheetId="10" r:id="rId5"/>
    <sheet name="Single Asset Return&amp;Risk" sheetId="2" r:id="rId6"/>
    <sheet name="Portfolio Return&amp;Risk" sheetId="3" r:id="rId7"/>
    <sheet name="Theoretical Portfolio, Brigham " sheetId="6" r:id="rId8"/>
    <sheet name="Covariance Matrix" sheetId="4" r:id="rId9"/>
    <sheet name="Correlation Matrix" sheetId="5" r:id="rId10"/>
  </sheets>
  <externalReferences>
    <externalReference r:id="rId11"/>
  </externalReferences>
  <definedNames>
    <definedName name="COL_CORR">'Correlation Matrix'!$A$1:$A$45</definedName>
    <definedName name="COL_COV">'Covariance Matrix'!$A$1:$A$45</definedName>
    <definedName name="COL_FINDATA">'Financial Data'!$A$2:$A$46</definedName>
    <definedName name="_xlnm.CRITERIA">'Financial Data'!$A$2:$AE$2</definedName>
    <definedName name="eee">[1]Client!$C$13</definedName>
    <definedName name="FACTOR">'Estimating Beta'!$H$81</definedName>
    <definedName name="MARKET">'Estimating Beta'!$B$39:$B$41</definedName>
    <definedName name="MARKET_SP500">'Estimating Beta'!$C$124:$C$171</definedName>
    <definedName name="mue_1">'Single Asset Return&amp;Risk'!$C$28</definedName>
    <definedName name="mue_2">'Single Asset Return&amp;Risk'!$E$28</definedName>
    <definedName name="mVCM">Matrix!$C$3:$I$9</definedName>
    <definedName name="NO_OBS_EA">Data!$B$182</definedName>
    <definedName name="NO_OBS_SA">Data!$B$169</definedName>
    <definedName name="Rf">Matrix!$V$10</definedName>
    <definedName name="Rm">Matrix!$AB$18</definedName>
    <definedName name="RP_EP">Matrix!$G$37</definedName>
    <definedName name="RP_EP_C">Matrix!$S$116</definedName>
    <definedName name="RP_MVP">Matrix!$G$18</definedName>
    <definedName name="RP_MVP_C">Matrix!$S$104</definedName>
    <definedName name="Rq">'Security Analysis'!$Z$12</definedName>
    <definedName name="SELECTIONS">Data!$A$163:$A$167</definedName>
    <definedName name="SELECTIONS_NO">Data!$A$163:$B$167</definedName>
    <definedName name="sigma_1">'Single Asset Return&amp;Risk'!$C$29</definedName>
    <definedName name="sigma_2">'Single Asset Return&amp;Risk'!$E$29</definedName>
    <definedName name="STD_EP">Matrix!$G$38</definedName>
    <definedName name="STD_EP_C">Matrix!$S$117</definedName>
    <definedName name="STD_MVP">Matrix!$G$19</definedName>
    <definedName name="STD_MVP_C">Matrix!$S$105</definedName>
    <definedName name="STOCK_A">'Estimating Beta'!$D$39:$D$41</definedName>
    <definedName name="STOCK_GE">'Estimating Beta'!$E$124:$E$171</definedName>
    <definedName name="STOCK_H">'Estimating Beta'!$C$39:$C$41</definedName>
    <definedName name="STOCK_L">'Estimating Beta'!$E$39:$E$41</definedName>
    <definedName name="STOCK_LISTS">Data!$C$110:$AS$110</definedName>
    <definedName name="SYMBOLS">'Financial Data'!$A$3:$A$45</definedName>
    <definedName name="TAB_CORR">'Correlation Matrix'!$A$1:$AS$45</definedName>
    <definedName name="TAB_COV">'Covariance Matrix'!$A$1:$AS$45</definedName>
    <definedName name="TAB_EA">Data!$C$183:$AT$184</definedName>
    <definedName name="TAB_FINDATA">'Financial Data'!$A$2:$AE$45</definedName>
    <definedName name="TAB_MCAPS">Data!$C$2:$AT$52</definedName>
    <definedName name="TAB_PORT">Data!$C$176:$AT$179</definedName>
    <definedName name="TAB_PRICES">Data!$C$56:$AT$106</definedName>
    <definedName name="TAB_RETURNS">Data!$C$110:$AT$160</definedName>
    <definedName name="TAB_SA">Data!$C$170:$AT$172</definedName>
    <definedName name="W_EP">Matrix!$D$32:$D$38</definedName>
    <definedName name="W_EP_C">Matrix!$Q$108:$Q$114</definedName>
    <definedName name="W_MVP">Matrix!$D$13:$D$19</definedName>
    <definedName name="W_MVP_C">Matrix!$Q$97:$Q$103</definedName>
  </definedNames>
  <calcPr calcId="125725"/>
</workbook>
</file>

<file path=xl/calcChain.xml><?xml version="1.0" encoding="utf-8"?>
<calcChain xmlns="http://schemas.openxmlformats.org/spreadsheetml/2006/main">
  <c r="V30" i="9"/>
  <c r="E184" i="10"/>
  <c r="E183"/>
  <c r="E182"/>
  <c r="E180"/>
  <c r="E179"/>
  <c r="E178"/>
  <c r="E177"/>
  <c r="E176"/>
  <c r="E175"/>
  <c r="C178"/>
  <c r="C177"/>
  <c r="C176"/>
  <c r="C175"/>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24"/>
  <c r="D94"/>
  <c r="E94"/>
  <c r="C94"/>
  <c r="D91"/>
  <c r="E91"/>
  <c r="C91"/>
  <c r="D88"/>
  <c r="E88"/>
  <c r="C88"/>
  <c r="E85"/>
  <c r="D85"/>
  <c r="C85"/>
  <c r="E84"/>
  <c r="D84"/>
  <c r="C84"/>
  <c r="AB26" i="9" l="1"/>
  <c r="E83" i="10" l="1"/>
  <c r="D83"/>
  <c r="C83"/>
  <c r="H81"/>
  <c r="E44"/>
  <c r="D44"/>
  <c r="C44"/>
  <c r="E43"/>
  <c r="L71" s="1"/>
  <c r="D43"/>
  <c r="K71" s="1"/>
  <c r="C43"/>
  <c r="J71" s="1"/>
  <c r="B43"/>
  <c r="E42"/>
  <c r="D42"/>
  <c r="C42"/>
  <c r="B42"/>
  <c r="AG3" i="7" l="1"/>
  <c r="AF3"/>
  <c r="Q122" i="9"/>
  <c r="M123"/>
  <c r="M124" s="1"/>
  <c r="M125" s="1"/>
  <c r="M126" s="1"/>
  <c r="M127" s="1"/>
  <c r="M128" s="1"/>
  <c r="M129" s="1"/>
  <c r="M130" s="1"/>
  <c r="M131" s="1"/>
  <c r="M132" s="1"/>
  <c r="M133" s="1"/>
  <c r="M134" s="1"/>
  <c r="M135" s="1"/>
  <c r="M136" s="1"/>
  <c r="M137" s="1"/>
  <c r="M138" s="1"/>
  <c r="M139" s="1"/>
  <c r="M140" s="1"/>
  <c r="M141" s="1"/>
  <c r="M142" s="1"/>
  <c r="Q142" s="1"/>
  <c r="N105"/>
  <c r="N117" s="1"/>
  <c r="O123" s="1"/>
  <c r="C14"/>
  <c r="W32" s="1"/>
  <c r="C15"/>
  <c r="W33" s="1"/>
  <c r="C16"/>
  <c r="W34" s="1"/>
  <c r="C17"/>
  <c r="W35" s="1"/>
  <c r="C18"/>
  <c r="W36" s="1"/>
  <c r="C19"/>
  <c r="W37" s="1"/>
  <c r="C13"/>
  <c r="W31" s="1"/>
  <c r="N115"/>
  <c r="K98"/>
  <c r="K99"/>
  <c r="K100"/>
  <c r="K101"/>
  <c r="K102"/>
  <c r="K103"/>
  <c r="K97"/>
  <c r="L109"/>
  <c r="L110"/>
  <c r="L111"/>
  <c r="L112"/>
  <c r="L113"/>
  <c r="L114"/>
  <c r="L108"/>
  <c r="G33"/>
  <c r="Q141" l="1"/>
  <c r="Q139"/>
  <c r="Q137"/>
  <c r="Q135"/>
  <c r="Q133"/>
  <c r="Q131"/>
  <c r="Q129"/>
  <c r="Q127"/>
  <c r="Q125"/>
  <c r="Q123"/>
  <c r="Q140"/>
  <c r="Q138"/>
  <c r="Q136"/>
  <c r="Q134"/>
  <c r="Q132"/>
  <c r="Q130"/>
  <c r="Q128"/>
  <c r="Q126"/>
  <c r="Q124"/>
  <c r="O142"/>
  <c r="O140"/>
  <c r="O138"/>
  <c r="O136"/>
  <c r="O134"/>
  <c r="O132"/>
  <c r="O130"/>
  <c r="O128"/>
  <c r="O126"/>
  <c r="O124"/>
  <c r="O122"/>
  <c r="O141"/>
  <c r="O139"/>
  <c r="O137"/>
  <c r="O135"/>
  <c r="O133"/>
  <c r="O131"/>
  <c r="O129"/>
  <c r="O127"/>
  <c r="O125"/>
  <c r="C104" a="1"/>
  <c r="C104" s="1"/>
  <c r="G104" l="1"/>
  <c r="D105"/>
  <c r="H105"/>
  <c r="F104"/>
  <c r="C105"/>
  <c r="G105"/>
  <c r="E104"/>
  <c r="I104"/>
  <c r="F105"/>
  <c r="D104"/>
  <c r="H104"/>
  <c r="E105"/>
  <c r="I105"/>
  <c r="M53" l="1"/>
  <c r="M54" s="1"/>
  <c r="M55" s="1"/>
  <c r="M56" s="1"/>
  <c r="M57" s="1"/>
  <c r="M58" s="1"/>
  <c r="M59" s="1"/>
  <c r="M60" s="1"/>
  <c r="M61" s="1"/>
  <c r="M62" s="1"/>
  <c r="M63" s="1"/>
  <c r="M64" s="1"/>
  <c r="M65" s="1"/>
  <c r="M66" s="1"/>
  <c r="M67" s="1"/>
  <c r="M68" s="1"/>
  <c r="M69" s="1"/>
  <c r="M70" s="1"/>
  <c r="M71" s="1"/>
  <c r="M72" s="1"/>
  <c r="P52"/>
  <c r="P61" l="1"/>
  <c r="P60"/>
  <c r="P58"/>
  <c r="P56"/>
  <c r="P54"/>
  <c r="P59"/>
  <c r="P57"/>
  <c r="P55"/>
  <c r="P53"/>
  <c r="P62" l="1"/>
  <c r="P63" l="1"/>
  <c r="P64" l="1"/>
  <c r="P65" l="1"/>
  <c r="P66" l="1"/>
  <c r="P67" l="1"/>
  <c r="P68" l="1"/>
  <c r="P69" l="1"/>
  <c r="P70" l="1"/>
  <c r="P72" l="1"/>
  <c r="P71"/>
  <c r="M47" l="1"/>
  <c r="O40" a="1"/>
  <c r="N21" a="1"/>
  <c r="B3" a="1"/>
  <c r="Y10" i="7" l="1"/>
  <c r="AE10" s="1"/>
  <c r="Y9"/>
  <c r="AE9" s="1"/>
  <c r="Y8"/>
  <c r="AE8" s="1"/>
  <c r="Y7"/>
  <c r="AE7" s="1"/>
  <c r="Y6"/>
  <c r="AE6" s="1"/>
  <c r="Y5"/>
  <c r="AE5" s="1"/>
  <c r="C74" i="3" a="1"/>
  <c r="C74" s="1"/>
  <c r="A112"/>
  <c r="A113"/>
  <c r="A114"/>
  <c r="A115"/>
  <c r="A116"/>
  <c r="A117"/>
  <c r="A118"/>
  <c r="A119"/>
  <c r="A120"/>
  <c r="A111"/>
  <c r="C108"/>
  <c r="D99" s="1"/>
  <c r="D100"/>
  <c r="D102"/>
  <c r="D104"/>
  <c r="D106"/>
  <c r="D98"/>
  <c r="A182" i="1"/>
  <c r="D144" i="6"/>
  <c r="D143"/>
  <c r="D137"/>
  <c r="D108"/>
  <c r="D107"/>
  <c r="B106"/>
  <c r="B142" s="1"/>
  <c r="B105"/>
  <c r="B141" s="1"/>
  <c r="B104"/>
  <c r="B140" s="1"/>
  <c r="B103"/>
  <c r="B139" s="1"/>
  <c r="B102"/>
  <c r="B108" s="1"/>
  <c r="D101"/>
  <c r="D99"/>
  <c r="B99"/>
  <c r="F106" s="1"/>
  <c r="B98"/>
  <c r="B134" s="1"/>
  <c r="F74"/>
  <c r="D72"/>
  <c r="B72"/>
  <c r="D71"/>
  <c r="B71"/>
  <c r="D63"/>
  <c r="F70" s="1"/>
  <c r="C34"/>
  <c r="B34"/>
  <c r="E33"/>
  <c r="C33"/>
  <c r="E32"/>
  <c r="C32"/>
  <c r="E31"/>
  <c r="C31"/>
  <c r="E30"/>
  <c r="E36" s="1"/>
  <c r="C30"/>
  <c r="D16"/>
  <c r="D15"/>
  <c r="C13"/>
  <c r="C12"/>
  <c r="C70" i="3"/>
  <c r="D68" s="1"/>
  <c r="B41"/>
  <c r="B42"/>
  <c r="F41" s="1"/>
  <c r="B43"/>
  <c r="C38"/>
  <c r="D36" s="1"/>
  <c r="B14"/>
  <c r="B13"/>
  <c r="C9"/>
  <c r="D7" s="1"/>
  <c r="E65" i="7"/>
  <c r="D65"/>
  <c r="C65"/>
  <c r="Y4" l="1"/>
  <c r="AE4" s="1"/>
  <c r="AC4"/>
  <c r="AA4"/>
  <c r="AD10"/>
  <c r="AB10"/>
  <c r="Z10"/>
  <c r="AD9"/>
  <c r="AB9"/>
  <c r="Z9"/>
  <c r="AD8"/>
  <c r="AB8"/>
  <c r="Z8"/>
  <c r="AD7"/>
  <c r="AB7"/>
  <c r="Z7"/>
  <c r="AD6"/>
  <c r="AB6"/>
  <c r="Z6"/>
  <c r="AD5"/>
  <c r="AB5"/>
  <c r="Z5"/>
  <c r="AD4"/>
  <c r="AB4"/>
  <c r="Z4"/>
  <c r="AC10"/>
  <c r="AA10"/>
  <c r="AC9"/>
  <c r="AA9"/>
  <c r="AC8"/>
  <c r="AA8"/>
  <c r="AC7"/>
  <c r="AA7"/>
  <c r="AC6"/>
  <c r="AA6"/>
  <c r="AC5"/>
  <c r="AA5"/>
  <c r="B182" i="1"/>
  <c r="E13" i="3"/>
  <c r="E41"/>
  <c r="D49" s="1"/>
  <c r="D107"/>
  <c r="D105"/>
  <c r="D103"/>
  <c r="D101"/>
  <c r="B110" a="1"/>
  <c r="E110" s="1"/>
  <c r="E43"/>
  <c r="E49" s="1"/>
  <c r="F74"/>
  <c r="D74"/>
  <c r="G74"/>
  <c r="E74"/>
  <c r="D21"/>
  <c r="C22" s="1"/>
  <c r="F13"/>
  <c r="B110"/>
  <c r="I110"/>
  <c r="G110"/>
  <c r="J110"/>
  <c r="F110"/>
  <c r="F67" i="6"/>
  <c r="F69"/>
  <c r="B101"/>
  <c r="B137" s="1"/>
  <c r="B107"/>
  <c r="F110"/>
  <c r="B135"/>
  <c r="B138"/>
  <c r="F66"/>
  <c r="F68"/>
  <c r="F102"/>
  <c r="F103"/>
  <c r="F104"/>
  <c r="F105"/>
  <c r="D69" i="3"/>
  <c r="D35"/>
  <c r="D37"/>
  <c r="D67"/>
  <c r="D65"/>
  <c r="D66"/>
  <c r="E50"/>
  <c r="D51" s="1"/>
  <c r="D8"/>
  <c r="C38" i="9" l="1"/>
  <c r="E38" s="1"/>
  <c r="E19"/>
  <c r="V19" s="1"/>
  <c r="O46"/>
  <c r="N27"/>
  <c r="B9"/>
  <c r="C36"/>
  <c r="E36" s="1"/>
  <c r="E17"/>
  <c r="V17" s="1"/>
  <c r="N25"/>
  <c r="B7"/>
  <c r="O44"/>
  <c r="C37"/>
  <c r="E37" s="1"/>
  <c r="E18"/>
  <c r="V18" s="1"/>
  <c r="N26"/>
  <c r="B8"/>
  <c r="O45"/>
  <c r="C34"/>
  <c r="E34" s="1"/>
  <c r="E15"/>
  <c r="V15" s="1"/>
  <c r="O42"/>
  <c r="N23"/>
  <c r="B5"/>
  <c r="C35"/>
  <c r="E35" s="1"/>
  <c r="E16"/>
  <c r="V16" s="1"/>
  <c r="O43"/>
  <c r="N24"/>
  <c r="B6"/>
  <c r="C33"/>
  <c r="E33" s="1"/>
  <c r="E14"/>
  <c r="V14" s="1"/>
  <c r="O41"/>
  <c r="B4"/>
  <c r="N22"/>
  <c r="C32"/>
  <c r="E32" s="1"/>
  <c r="E13"/>
  <c r="V13" s="1"/>
  <c r="C2" a="1"/>
  <c r="O40"/>
  <c r="B3"/>
  <c r="N21"/>
  <c r="C50" i="3" a="1"/>
  <c r="C50" s="1"/>
  <c r="D110"/>
  <c r="H110"/>
  <c r="K110"/>
  <c r="C110"/>
  <c r="B75" a="1"/>
  <c r="F112"/>
  <c r="F113"/>
  <c r="F114"/>
  <c r="F116"/>
  <c r="F117"/>
  <c r="F118"/>
  <c r="F119"/>
  <c r="F120"/>
  <c r="F111"/>
  <c r="J112"/>
  <c r="J113"/>
  <c r="J114"/>
  <c r="J115"/>
  <c r="J116"/>
  <c r="J117"/>
  <c r="J118"/>
  <c r="J120"/>
  <c r="J111"/>
  <c r="G111"/>
  <c r="G112"/>
  <c r="G113"/>
  <c r="G114"/>
  <c r="G115"/>
  <c r="G117"/>
  <c r="G118"/>
  <c r="G119"/>
  <c r="G120"/>
  <c r="I111"/>
  <c r="I112"/>
  <c r="I113"/>
  <c r="I114"/>
  <c r="I115"/>
  <c r="I116"/>
  <c r="I117"/>
  <c r="I119"/>
  <c r="I120"/>
  <c r="B112"/>
  <c r="B113"/>
  <c r="B114"/>
  <c r="B115"/>
  <c r="B116"/>
  <c r="B117"/>
  <c r="B118"/>
  <c r="B119"/>
  <c r="B120"/>
  <c r="D112"/>
  <c r="D114"/>
  <c r="D115"/>
  <c r="D116"/>
  <c r="D117"/>
  <c r="D118"/>
  <c r="D119"/>
  <c r="D120"/>
  <c r="D111"/>
  <c r="H112"/>
  <c r="H113"/>
  <c r="H114"/>
  <c r="H115"/>
  <c r="H116"/>
  <c r="H118"/>
  <c r="H119"/>
  <c r="H120"/>
  <c r="H111"/>
  <c r="K111"/>
  <c r="K112"/>
  <c r="K113"/>
  <c r="K114"/>
  <c r="K115"/>
  <c r="K116"/>
  <c r="K117"/>
  <c r="K118"/>
  <c r="K119"/>
  <c r="C111"/>
  <c r="C113"/>
  <c r="C114"/>
  <c r="C115"/>
  <c r="C116"/>
  <c r="C117"/>
  <c r="C118"/>
  <c r="C119"/>
  <c r="C120"/>
  <c r="E111"/>
  <c r="E112"/>
  <c r="E113"/>
  <c r="E115"/>
  <c r="E116"/>
  <c r="E117"/>
  <c r="E118"/>
  <c r="E119"/>
  <c r="E120"/>
  <c r="B144" i="6"/>
  <c r="F146"/>
  <c r="B143"/>
  <c r="F108"/>
  <c r="F107"/>
  <c r="F72"/>
  <c r="F71"/>
  <c r="F142"/>
  <c r="F140"/>
  <c r="F138"/>
  <c r="D135"/>
  <c r="F141" s="1"/>
  <c r="C51" i="3"/>
  <c r="J40" i="9" l="1" a="1"/>
  <c r="J40" s="1"/>
  <c r="J108" a="1"/>
  <c r="J108" s="1"/>
  <c r="J43"/>
  <c r="J45"/>
  <c r="J46"/>
  <c r="J111"/>
  <c r="J114"/>
  <c r="C2"/>
  <c r="C6" s="1"/>
  <c r="H2"/>
  <c r="D2"/>
  <c r="G2"/>
  <c r="F2"/>
  <c r="I2"/>
  <c r="E2"/>
  <c r="B75" i="3"/>
  <c r="B76"/>
  <c r="B78"/>
  <c r="B77"/>
  <c r="B79"/>
  <c r="F139" i="6"/>
  <c r="F144"/>
  <c r="F143"/>
  <c r="C7" i="9" l="1"/>
  <c r="J113"/>
  <c r="C8"/>
  <c r="C4"/>
  <c r="J44"/>
  <c r="J42"/>
  <c r="J41"/>
  <c r="J112"/>
  <c r="J110"/>
  <c r="J109"/>
  <c r="E4"/>
  <c r="E8"/>
  <c r="E3"/>
  <c r="E9"/>
  <c r="E6"/>
  <c r="E7"/>
  <c r="F7"/>
  <c r="F3"/>
  <c r="F8"/>
  <c r="F5"/>
  <c r="F9"/>
  <c r="F4"/>
  <c r="D7"/>
  <c r="D3"/>
  <c r="D8"/>
  <c r="D5"/>
  <c r="D6"/>
  <c r="D9"/>
  <c r="I4"/>
  <c r="I8"/>
  <c r="I3"/>
  <c r="I6"/>
  <c r="I7"/>
  <c r="I5"/>
  <c r="G3"/>
  <c r="G6"/>
  <c r="G9"/>
  <c r="G5"/>
  <c r="G4"/>
  <c r="G8"/>
  <c r="H7"/>
  <c r="H3"/>
  <c r="H6"/>
  <c r="H9"/>
  <c r="H5"/>
  <c r="H4"/>
  <c r="C5"/>
  <c r="C9"/>
  <c r="C77" i="3"/>
  <c r="G77"/>
  <c r="D77"/>
  <c r="F77"/>
  <c r="C76"/>
  <c r="E76"/>
  <c r="G76"/>
  <c r="F76"/>
  <c r="C79"/>
  <c r="D79"/>
  <c r="F79"/>
  <c r="E79"/>
  <c r="C78"/>
  <c r="E78"/>
  <c r="D78"/>
  <c r="G78"/>
  <c r="E75"/>
  <c r="G75"/>
  <c r="D75"/>
  <c r="F75"/>
  <c r="B33" i="2"/>
  <c r="B34" s="1"/>
  <c r="C47" i="9" l="1" a="1"/>
  <c r="C115" a="1"/>
  <c r="I116" s="1"/>
  <c r="F47"/>
  <c r="I48"/>
  <c r="F48"/>
  <c r="C47"/>
  <c r="H48"/>
  <c r="E48"/>
  <c r="I47"/>
  <c r="G48"/>
  <c r="D48"/>
  <c r="H47"/>
  <c r="E47"/>
  <c r="C48"/>
  <c r="G47"/>
  <c r="D47"/>
  <c r="B35" i="2"/>
  <c r="F115" i="9" l="1"/>
  <c r="C117"/>
  <c r="G115"/>
  <c r="D117"/>
  <c r="H115"/>
  <c r="E117"/>
  <c r="I115"/>
  <c r="F117"/>
  <c r="C116"/>
  <c r="G117"/>
  <c r="D116"/>
  <c r="H117"/>
  <c r="E116"/>
  <c r="I117"/>
  <c r="F116"/>
  <c r="C115"/>
  <c r="G116"/>
  <c r="D115"/>
  <c r="H116"/>
  <c r="E115"/>
  <c r="B36" i="2"/>
  <c r="B37" l="1"/>
  <c r="B38" l="1"/>
  <c r="B39" l="1"/>
  <c r="B40" l="1"/>
  <c r="B41" l="1"/>
  <c r="B42" l="1"/>
  <c r="B43" l="1"/>
  <c r="B44" l="1"/>
  <c r="B45" l="1"/>
  <c r="B46" l="1"/>
  <c r="B47" l="1"/>
  <c r="B48" l="1"/>
  <c r="B49" l="1"/>
  <c r="B24" a="1"/>
  <c r="B24" s="1"/>
  <c r="F13"/>
  <c r="E13"/>
  <c r="D13"/>
  <c r="B16"/>
  <c r="B15"/>
  <c r="B14"/>
  <c r="C15"/>
  <c r="C16"/>
  <c r="C14"/>
  <c r="A169" i="1"/>
  <c r="B169" s="1"/>
  <c r="D170"/>
  <c r="D176" s="1"/>
  <c r="D183" s="1"/>
  <c r="E170"/>
  <c r="E176" s="1"/>
  <c r="E183" s="1"/>
  <c r="F170"/>
  <c r="F176" s="1"/>
  <c r="F183" s="1"/>
  <c r="G170"/>
  <c r="G176" s="1"/>
  <c r="G183" s="1"/>
  <c r="H170"/>
  <c r="H176" s="1"/>
  <c r="H183" s="1"/>
  <c r="I170"/>
  <c r="I176" s="1"/>
  <c r="I183" s="1"/>
  <c r="J170"/>
  <c r="J176" s="1"/>
  <c r="J183" s="1"/>
  <c r="K170"/>
  <c r="K176" s="1"/>
  <c r="K183" s="1"/>
  <c r="L170"/>
  <c r="L176" s="1"/>
  <c r="L183" s="1"/>
  <c r="M170"/>
  <c r="M176" s="1"/>
  <c r="M183" s="1"/>
  <c r="N170"/>
  <c r="N176" s="1"/>
  <c r="N183" s="1"/>
  <c r="O170"/>
  <c r="O176" s="1"/>
  <c r="O183" s="1"/>
  <c r="P170"/>
  <c r="P176" s="1"/>
  <c r="P183" s="1"/>
  <c r="Q170"/>
  <c r="Q176" s="1"/>
  <c r="Q183" s="1"/>
  <c r="R170"/>
  <c r="R176" s="1"/>
  <c r="R183" s="1"/>
  <c r="S170"/>
  <c r="S176" s="1"/>
  <c r="S183" s="1"/>
  <c r="T170"/>
  <c r="T176" s="1"/>
  <c r="T183" s="1"/>
  <c r="U170"/>
  <c r="U176" s="1"/>
  <c r="U183" s="1"/>
  <c r="V170"/>
  <c r="V176" s="1"/>
  <c r="V183" s="1"/>
  <c r="W170"/>
  <c r="W176" s="1"/>
  <c r="W183" s="1"/>
  <c r="X170"/>
  <c r="X176" s="1"/>
  <c r="X183" s="1"/>
  <c r="Y170"/>
  <c r="Y176" s="1"/>
  <c r="Y183" s="1"/>
  <c r="Z170"/>
  <c r="Z176" s="1"/>
  <c r="Z183" s="1"/>
  <c r="AA170"/>
  <c r="AA176" s="1"/>
  <c r="AA183" s="1"/>
  <c r="AB170"/>
  <c r="AB176" s="1"/>
  <c r="AB183" s="1"/>
  <c r="AC170"/>
  <c r="AC176" s="1"/>
  <c r="AC183" s="1"/>
  <c r="AD170"/>
  <c r="AD176" s="1"/>
  <c r="AD183" s="1"/>
  <c r="AE170"/>
  <c r="AE176" s="1"/>
  <c r="AE183" s="1"/>
  <c r="AF170"/>
  <c r="AF176" s="1"/>
  <c r="AF183" s="1"/>
  <c r="AG170"/>
  <c r="AG176" s="1"/>
  <c r="AG183" s="1"/>
  <c r="AH170"/>
  <c r="AH176" s="1"/>
  <c r="AH183" s="1"/>
  <c r="AI170"/>
  <c r="AI176" s="1"/>
  <c r="AI183" s="1"/>
  <c r="AJ170"/>
  <c r="AJ176" s="1"/>
  <c r="AJ183" s="1"/>
  <c r="AK170"/>
  <c r="AK176" s="1"/>
  <c r="AK183" s="1"/>
  <c r="AL170"/>
  <c r="AL176" s="1"/>
  <c r="AL183" s="1"/>
  <c r="AM170"/>
  <c r="AM176" s="1"/>
  <c r="AM183" s="1"/>
  <c r="AN170"/>
  <c r="AN176" s="1"/>
  <c r="AN183" s="1"/>
  <c r="AO170"/>
  <c r="AO176" s="1"/>
  <c r="AO183" s="1"/>
  <c r="AP170"/>
  <c r="AP176" s="1"/>
  <c r="AP183" s="1"/>
  <c r="AQ170"/>
  <c r="AQ176" s="1"/>
  <c r="AQ183" s="1"/>
  <c r="AR170"/>
  <c r="AR176" s="1"/>
  <c r="AR183" s="1"/>
  <c r="AS170"/>
  <c r="AS176" s="1"/>
  <c r="AS183" s="1"/>
  <c r="AT170"/>
  <c r="AT176" s="1"/>
  <c r="AT183" s="1"/>
  <c r="C170"/>
  <c r="C176" s="1"/>
  <c r="C183" l="1"/>
  <c r="B50" i="2"/>
  <c r="B25"/>
  <c r="B26"/>
  <c r="B51" l="1"/>
  <c r="B52" l="1"/>
  <c r="B53" l="1"/>
  <c r="B54" l="1"/>
  <c r="B55" l="1"/>
  <c r="B56" l="1"/>
  <c r="B57" l="1"/>
  <c r="C53" l="1"/>
  <c r="C32"/>
  <c r="C33"/>
  <c r="C36"/>
  <c r="C38"/>
  <c r="C40"/>
  <c r="C42"/>
  <c r="C44"/>
  <c r="C46"/>
  <c r="C48"/>
  <c r="C50"/>
  <c r="C52"/>
  <c r="C54"/>
  <c r="C112"/>
  <c r="C34"/>
  <c r="C35"/>
  <c r="C37"/>
  <c r="C39"/>
  <c r="C41"/>
  <c r="C43"/>
  <c r="C45"/>
  <c r="C47"/>
  <c r="C49"/>
  <c r="C51"/>
  <c r="C55"/>
  <c r="C56"/>
  <c r="B58"/>
  <c r="C57"/>
  <c r="D57" l="1"/>
  <c r="E57"/>
  <c r="F57" s="1"/>
  <c r="D51"/>
  <c r="E51"/>
  <c r="F51" s="1"/>
  <c r="D43"/>
  <c r="E43"/>
  <c r="F43" s="1"/>
  <c r="D112"/>
  <c r="E112"/>
  <c r="F112" s="1"/>
  <c r="D48"/>
  <c r="E48"/>
  <c r="F48" s="1"/>
  <c r="D55"/>
  <c r="E55"/>
  <c r="F55" s="1"/>
  <c r="D49"/>
  <c r="E49"/>
  <c r="F49" s="1"/>
  <c r="D45"/>
  <c r="E45"/>
  <c r="F45" s="1"/>
  <c r="D41"/>
  <c r="E41"/>
  <c r="F41" s="1"/>
  <c r="D37"/>
  <c r="E37"/>
  <c r="F37" s="1"/>
  <c r="D34"/>
  <c r="E34"/>
  <c r="F34" s="1"/>
  <c r="D54"/>
  <c r="E54"/>
  <c r="F54" s="1"/>
  <c r="D50"/>
  <c r="E50"/>
  <c r="F50" s="1"/>
  <c r="D46"/>
  <c r="E46"/>
  <c r="F46" s="1"/>
  <c r="D42"/>
  <c r="E42"/>
  <c r="F42" s="1"/>
  <c r="D38"/>
  <c r="E38"/>
  <c r="F38" s="1"/>
  <c r="D33"/>
  <c r="E33"/>
  <c r="F33" s="1"/>
  <c r="D53"/>
  <c r="E53"/>
  <c r="F53" s="1"/>
  <c r="D56"/>
  <c r="E56"/>
  <c r="F56" s="1"/>
  <c r="D47"/>
  <c r="E47"/>
  <c r="F47" s="1"/>
  <c r="D39"/>
  <c r="E39"/>
  <c r="F39" s="1"/>
  <c r="D35"/>
  <c r="E35"/>
  <c r="F35" s="1"/>
  <c r="D52"/>
  <c r="E52"/>
  <c r="F52" s="1"/>
  <c r="D44"/>
  <c r="E44"/>
  <c r="F44" s="1"/>
  <c r="D40"/>
  <c r="E40"/>
  <c r="F40" s="1"/>
  <c r="D36"/>
  <c r="E36"/>
  <c r="F36" s="1"/>
  <c r="D32"/>
  <c r="E32"/>
  <c r="F32" s="1"/>
  <c r="B59"/>
  <c r="C58"/>
  <c r="C113" i="1"/>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C112"/>
  <c r="C178" s="1"/>
  <c r="C179" s="1"/>
  <c r="C55" i="7"/>
  <c r="D46"/>
  <c r="C38"/>
  <c r="D29"/>
  <c r="C17"/>
  <c r="E45"/>
  <c r="C24"/>
  <c r="E20"/>
  <c r="C60"/>
  <c r="D50"/>
  <c r="C42"/>
  <c r="D33"/>
  <c r="C21"/>
  <c r="E53"/>
  <c r="E38"/>
  <c r="E19"/>
  <c r="D60"/>
  <c r="E43"/>
  <c r="C31"/>
  <c r="D22"/>
  <c r="E58"/>
  <c r="E39"/>
  <c r="E16"/>
  <c r="C57"/>
  <c r="D48"/>
  <c r="D31"/>
  <c r="C35"/>
  <c r="D26"/>
  <c r="C18"/>
  <c r="E47"/>
  <c r="E24"/>
  <c r="C62"/>
  <c r="D52"/>
  <c r="C44"/>
  <c r="D35"/>
  <c r="C32"/>
  <c r="E44"/>
  <c r="E25"/>
  <c r="D63"/>
  <c r="C54"/>
  <c r="D45"/>
  <c r="C33"/>
  <c r="D24"/>
  <c r="C56"/>
  <c r="E52"/>
  <c r="E33"/>
  <c r="E18"/>
  <c r="C58"/>
  <c r="D49"/>
  <c r="C37"/>
  <c r="D28"/>
  <c r="C20"/>
  <c r="E51"/>
  <c r="D56"/>
  <c r="D39"/>
  <c r="C47"/>
  <c r="D38"/>
  <c r="C30"/>
  <c r="D21"/>
  <c r="E48"/>
  <c r="E29"/>
  <c r="E46"/>
  <c r="D64"/>
  <c r="C51"/>
  <c r="D42"/>
  <c r="C34"/>
  <c r="D25"/>
  <c r="E56"/>
  <c r="E37"/>
  <c r="E22"/>
  <c r="C61"/>
  <c r="D51"/>
  <c r="E60"/>
  <c r="C23"/>
  <c r="E57"/>
  <c r="E42"/>
  <c r="E23"/>
  <c r="D62"/>
  <c r="C49"/>
  <c r="D40"/>
  <c r="D59"/>
  <c r="C27"/>
  <c r="D18"/>
  <c r="E50"/>
  <c r="E31"/>
  <c r="E61"/>
  <c r="C53"/>
  <c r="D44"/>
  <c r="C36"/>
  <c r="D27"/>
  <c r="D16"/>
  <c r="E28"/>
  <c r="C64"/>
  <c r="D54"/>
  <c r="C46"/>
  <c r="D37"/>
  <c r="C25"/>
  <c r="E59"/>
  <c r="C40"/>
  <c r="E36"/>
  <c r="E17"/>
  <c r="D58"/>
  <c r="C50"/>
  <c r="D41"/>
  <c r="C29"/>
  <c r="D20"/>
  <c r="E54"/>
  <c r="E35"/>
  <c r="C16"/>
  <c r="D23"/>
  <c r="C39"/>
  <c r="D30"/>
  <c r="C22"/>
  <c r="E55"/>
  <c r="E32"/>
  <c r="E62"/>
  <c r="E63"/>
  <c r="D47"/>
  <c r="C43"/>
  <c r="D34"/>
  <c r="C26"/>
  <c r="D17"/>
  <c r="E40"/>
  <c r="E21"/>
  <c r="D61"/>
  <c r="C52"/>
  <c r="D43"/>
  <c r="C48"/>
  <c r="C59"/>
  <c r="E41"/>
  <c r="E26"/>
  <c r="C63"/>
  <c r="D53"/>
  <c r="C41"/>
  <c r="D32"/>
  <c r="E27"/>
  <c r="C19"/>
  <c r="E49"/>
  <c r="E34"/>
  <c r="E64"/>
  <c r="D57"/>
  <c r="C45"/>
  <c r="D36"/>
  <c r="C28"/>
  <c r="D19"/>
  <c r="E30"/>
  <c r="D55"/>
  <c r="E177" i="1" l="1"/>
  <c r="E103" i="3" s="1"/>
  <c r="R184" i="1"/>
  <c r="M184"/>
  <c r="E184"/>
  <c r="U6" i="7" s="1"/>
  <c r="T6" s="1"/>
  <c r="AT184" i="1"/>
  <c r="AR184"/>
  <c r="AP184"/>
  <c r="AN184"/>
  <c r="AL184"/>
  <c r="AJ184"/>
  <c r="AH184"/>
  <c r="AF184"/>
  <c r="AD184"/>
  <c r="AB184"/>
  <c r="Z184"/>
  <c r="X184"/>
  <c r="V184"/>
  <c r="T184"/>
  <c r="P184"/>
  <c r="N184"/>
  <c r="L184"/>
  <c r="J184"/>
  <c r="H184"/>
  <c r="U9" i="7" s="1"/>
  <c r="T9" s="1"/>
  <c r="F184" i="1"/>
  <c r="D184"/>
  <c r="U5" i="7" s="1"/>
  <c r="T5" s="1"/>
  <c r="AS184" i="1"/>
  <c r="AQ184"/>
  <c r="AO184"/>
  <c r="AM184"/>
  <c r="AK184"/>
  <c r="AI184"/>
  <c r="AG184"/>
  <c r="AE184"/>
  <c r="AC184"/>
  <c r="AA184"/>
  <c r="Y184"/>
  <c r="W184"/>
  <c r="U184"/>
  <c r="S184"/>
  <c r="Q184"/>
  <c r="O184"/>
  <c r="K184"/>
  <c r="I184"/>
  <c r="U10" i="7" s="1"/>
  <c r="T10" s="1"/>
  <c r="G184" i="1"/>
  <c r="U8" i="7" s="1"/>
  <c r="T8" s="1"/>
  <c r="C184" i="1"/>
  <c r="U4" i="7" s="1"/>
  <c r="T4" s="1"/>
  <c r="B2" i="4"/>
  <c r="C3" i="9" s="1"/>
  <c r="C177" i="1"/>
  <c r="AP42" i="4"/>
  <c r="AQ178" i="1"/>
  <c r="AQ179" s="1"/>
  <c r="AQ177"/>
  <c r="AL38" i="4"/>
  <c r="AM178" i="1"/>
  <c r="AM179" s="1"/>
  <c r="AM177"/>
  <c r="AH34" i="4"/>
  <c r="AI178" i="1"/>
  <c r="AI179" s="1"/>
  <c r="AI177"/>
  <c r="AT177"/>
  <c r="AS45" i="4"/>
  <c r="AT178" i="1"/>
  <c r="AT179" s="1"/>
  <c r="AR177"/>
  <c r="AQ43" i="4"/>
  <c r="AR178" i="1"/>
  <c r="AR179" s="1"/>
  <c r="AP177"/>
  <c r="AO41" i="4"/>
  <c r="AP178" i="1"/>
  <c r="AP179" s="1"/>
  <c r="AN177"/>
  <c r="AM39" i="4"/>
  <c r="AN178" i="1"/>
  <c r="AN179" s="1"/>
  <c r="AL177"/>
  <c r="AK37" i="4"/>
  <c r="AL178" i="1"/>
  <c r="AL179" s="1"/>
  <c r="AJ177"/>
  <c r="AI35" i="4"/>
  <c r="AJ178" i="1"/>
  <c r="AJ179" s="1"/>
  <c r="AH177"/>
  <c r="AG33" i="4"/>
  <c r="AH178" i="1"/>
  <c r="AH179" s="1"/>
  <c r="AF177"/>
  <c r="AE31" i="4"/>
  <c r="AF178" i="1"/>
  <c r="AF179" s="1"/>
  <c r="AD177"/>
  <c r="AC29" i="4"/>
  <c r="AD178" i="1"/>
  <c r="AD179" s="1"/>
  <c r="AB177"/>
  <c r="AA27" i="4"/>
  <c r="AB178" i="1"/>
  <c r="AB179" s="1"/>
  <c r="Z177"/>
  <c r="Y25" i="4"/>
  <c r="Z178" i="1"/>
  <c r="Z179" s="1"/>
  <c r="X177"/>
  <c r="W23" i="4"/>
  <c r="X178" i="1"/>
  <c r="X179" s="1"/>
  <c r="V177"/>
  <c r="U21" i="4"/>
  <c r="V178" i="1"/>
  <c r="V179" s="1"/>
  <c r="T177"/>
  <c r="S19" i="4"/>
  <c r="T178" i="1"/>
  <c r="T179" s="1"/>
  <c r="R177"/>
  <c r="Q17" i="4"/>
  <c r="R178" i="1"/>
  <c r="R179" s="1"/>
  <c r="P177"/>
  <c r="O15" i="4"/>
  <c r="P178" i="1"/>
  <c r="P179" s="1"/>
  <c r="N177"/>
  <c r="M13" i="4"/>
  <c r="N178" i="1"/>
  <c r="N179" s="1"/>
  <c r="L177"/>
  <c r="K11" i="4"/>
  <c r="L178" i="1"/>
  <c r="L179" s="1"/>
  <c r="J177"/>
  <c r="I9" i="4"/>
  <c r="J178" i="1"/>
  <c r="J179" s="1"/>
  <c r="H177"/>
  <c r="E106" i="3" s="1"/>
  <c r="G7" i="4"/>
  <c r="H178" i="1"/>
  <c r="H179" s="1"/>
  <c r="F177"/>
  <c r="E104" i="3" s="1"/>
  <c r="E5" i="4"/>
  <c r="F178" i="1"/>
  <c r="F179" s="1"/>
  <c r="D177"/>
  <c r="C3" i="4"/>
  <c r="D4" i="9" s="1"/>
  <c r="D178" i="1"/>
  <c r="D179" s="1"/>
  <c r="AS171"/>
  <c r="AS172" s="1"/>
  <c r="AQ171"/>
  <c r="AQ172" s="1"/>
  <c r="AO171"/>
  <c r="AO172" s="1"/>
  <c r="AM171"/>
  <c r="AM172" s="1"/>
  <c r="AK171"/>
  <c r="AK172" s="1"/>
  <c r="AI171"/>
  <c r="AI172" s="1"/>
  <c r="AG171"/>
  <c r="AG172" s="1"/>
  <c r="AE171"/>
  <c r="AE172" s="1"/>
  <c r="AC171"/>
  <c r="AC172" s="1"/>
  <c r="AA171"/>
  <c r="AA172" s="1"/>
  <c r="Y171"/>
  <c r="Y172" s="1"/>
  <c r="W171"/>
  <c r="W172" s="1"/>
  <c r="U171"/>
  <c r="U172" s="1"/>
  <c r="S171"/>
  <c r="S172" s="1"/>
  <c r="Q171"/>
  <c r="Q172" s="1"/>
  <c r="O171"/>
  <c r="O172" s="1"/>
  <c r="M171"/>
  <c r="M172" s="1"/>
  <c r="K171"/>
  <c r="K172" s="1"/>
  <c r="I171"/>
  <c r="I172" s="1"/>
  <c r="G171"/>
  <c r="G172" s="1"/>
  <c r="E171"/>
  <c r="E172" s="1"/>
  <c r="C171"/>
  <c r="C172" s="1"/>
  <c r="D6" i="2" s="1"/>
  <c r="AR44" i="4"/>
  <c r="AS178" i="1"/>
  <c r="AS179" s="1"/>
  <c r="AS177"/>
  <c r="AN40" i="4"/>
  <c r="AO178" i="1"/>
  <c r="AO179" s="1"/>
  <c r="AO177"/>
  <c r="AJ36" i="4"/>
  <c r="AK178" i="1"/>
  <c r="AK179" s="1"/>
  <c r="AK177"/>
  <c r="AF32" i="4"/>
  <c r="AG178" i="1"/>
  <c r="AG179" s="1"/>
  <c r="AG177"/>
  <c r="AD30" i="4"/>
  <c r="AE178" i="1"/>
  <c r="AE179" s="1"/>
  <c r="AE177"/>
  <c r="AB28" i="4"/>
  <c r="AC178" i="1"/>
  <c r="AC179" s="1"/>
  <c r="AC177"/>
  <c r="Z26" i="4"/>
  <c r="AA178" i="1"/>
  <c r="AA179" s="1"/>
  <c r="AA177"/>
  <c r="X24" i="4"/>
  <c r="Y178" i="1"/>
  <c r="Y179" s="1"/>
  <c r="Y177"/>
  <c r="V22" i="4"/>
  <c r="W178" i="1"/>
  <c r="W179" s="1"/>
  <c r="W177"/>
  <c r="T20" i="4"/>
  <c r="U178" i="1"/>
  <c r="U179" s="1"/>
  <c r="U177"/>
  <c r="R18" i="4"/>
  <c r="K120" i="3" s="1"/>
  <c r="S178" i="1"/>
  <c r="S179" s="1"/>
  <c r="S177"/>
  <c r="E107" i="3" s="1"/>
  <c r="P16" i="4"/>
  <c r="Q178" i="1"/>
  <c r="Q179" s="1"/>
  <c r="Q177"/>
  <c r="N14" i="4"/>
  <c r="O178" i="1"/>
  <c r="O179" s="1"/>
  <c r="O177"/>
  <c r="L12" i="4"/>
  <c r="M178" i="1"/>
  <c r="M179" s="1"/>
  <c r="M177"/>
  <c r="J10" i="4"/>
  <c r="K178" i="1"/>
  <c r="K179" s="1"/>
  <c r="K177"/>
  <c r="H8" i="4"/>
  <c r="I9" i="9" s="1"/>
  <c r="I178" i="1"/>
  <c r="I179" s="1"/>
  <c r="I177"/>
  <c r="F6" i="4"/>
  <c r="G178" i="1"/>
  <c r="G179" s="1"/>
  <c r="G177"/>
  <c r="E105" i="3" s="1"/>
  <c r="D4" i="4"/>
  <c r="E178" i="1"/>
  <c r="E179" s="1"/>
  <c r="AT171"/>
  <c r="AT172" s="1"/>
  <c r="AR171"/>
  <c r="AR172" s="1"/>
  <c r="AP171"/>
  <c r="AP172" s="1"/>
  <c r="AN171"/>
  <c r="AN172" s="1"/>
  <c r="AL171"/>
  <c r="AL172" s="1"/>
  <c r="AJ171"/>
  <c r="AJ172" s="1"/>
  <c r="AH171"/>
  <c r="AH172" s="1"/>
  <c r="AF171"/>
  <c r="AF172" s="1"/>
  <c r="AD171"/>
  <c r="AD172" s="1"/>
  <c r="AB171"/>
  <c r="AB172" s="1"/>
  <c r="Z171"/>
  <c r="Z172" s="1"/>
  <c r="X171"/>
  <c r="X172" s="1"/>
  <c r="V171"/>
  <c r="V172" s="1"/>
  <c r="T171"/>
  <c r="T172" s="1"/>
  <c r="R171"/>
  <c r="R172" s="1"/>
  <c r="P171"/>
  <c r="P172" s="1"/>
  <c r="N171"/>
  <c r="N172" s="1"/>
  <c r="L171"/>
  <c r="L172" s="1"/>
  <c r="J171"/>
  <c r="J172" s="1"/>
  <c r="H171"/>
  <c r="H172" s="1"/>
  <c r="F171"/>
  <c r="F172" s="1"/>
  <c r="D171"/>
  <c r="D172" s="1"/>
  <c r="D58" i="2"/>
  <c r="E58"/>
  <c r="F58" s="1"/>
  <c r="B60"/>
  <c r="C59"/>
  <c r="I118" i="3" l="1"/>
  <c r="G7" i="9"/>
  <c r="J119" i="3"/>
  <c r="H8" i="9"/>
  <c r="G116" i="3"/>
  <c r="E5" i="9"/>
  <c r="H117" i="3"/>
  <c r="F6" i="9"/>
  <c r="C21" s="1" a="1"/>
  <c r="U7" i="7"/>
  <c r="T7" s="1"/>
  <c r="J7" s="1"/>
  <c r="E66" i="3"/>
  <c r="E99"/>
  <c r="E36"/>
  <c r="E8"/>
  <c r="E100"/>
  <c r="E37"/>
  <c r="E67"/>
  <c r="E101"/>
  <c r="E68"/>
  <c r="H4" i="7"/>
  <c r="J4"/>
  <c r="J10"/>
  <c r="H10"/>
  <c r="J5"/>
  <c r="H5"/>
  <c r="J9"/>
  <c r="H9"/>
  <c r="E65" i="3"/>
  <c r="E35"/>
  <c r="E98"/>
  <c r="E7"/>
  <c r="E102"/>
  <c r="E69"/>
  <c r="J8" i="7"/>
  <c r="H8"/>
  <c r="H6"/>
  <c r="J6"/>
  <c r="C41" i="3"/>
  <c r="C49" s="1"/>
  <c r="C13"/>
  <c r="B111"/>
  <c r="C75"/>
  <c r="C42"/>
  <c r="D50" s="1"/>
  <c r="C14"/>
  <c r="D22" s="1"/>
  <c r="C112"/>
  <c r="D76"/>
  <c r="C43"/>
  <c r="E51" s="1"/>
  <c r="D113"/>
  <c r="E77"/>
  <c r="E114"/>
  <c r="F78"/>
  <c r="F115"/>
  <c r="G79"/>
  <c r="E6" i="2"/>
  <c r="E7" s="1"/>
  <c r="F6"/>
  <c r="F5" s="1"/>
  <c r="D7"/>
  <c r="D5"/>
  <c r="D59"/>
  <c r="E59"/>
  <c r="F59" s="1"/>
  <c r="B61"/>
  <c r="C60"/>
  <c r="X13" i="9" l="1" a="1"/>
  <c r="X13" s="1"/>
  <c r="C40" a="1"/>
  <c r="C40" s="1"/>
  <c r="C108" a="1"/>
  <c r="H114" s="1"/>
  <c r="C97" a="1"/>
  <c r="G101" s="1"/>
  <c r="I41"/>
  <c r="H46"/>
  <c r="G44"/>
  <c r="H40"/>
  <c r="G45"/>
  <c r="F43"/>
  <c r="E46"/>
  <c r="F41"/>
  <c r="G43"/>
  <c r="D45"/>
  <c r="E40"/>
  <c r="F42"/>
  <c r="I108"/>
  <c r="D111"/>
  <c r="F113"/>
  <c r="H108"/>
  <c r="I109"/>
  <c r="C111"/>
  <c r="D112"/>
  <c r="E113"/>
  <c r="G108"/>
  <c r="H109"/>
  <c r="I110"/>
  <c r="C112"/>
  <c r="D113"/>
  <c r="F108"/>
  <c r="C109"/>
  <c r="G109"/>
  <c r="H110"/>
  <c r="I111"/>
  <c r="C113"/>
  <c r="D114"/>
  <c r="C21"/>
  <c r="I26"/>
  <c r="H25"/>
  <c r="G24"/>
  <c r="F23"/>
  <c r="E22"/>
  <c r="D21"/>
  <c r="C27"/>
  <c r="I25"/>
  <c r="H24"/>
  <c r="G23"/>
  <c r="F22"/>
  <c r="E21"/>
  <c r="D27"/>
  <c r="C26"/>
  <c r="I24"/>
  <c r="H23"/>
  <c r="G22"/>
  <c r="F21"/>
  <c r="E27"/>
  <c r="D26"/>
  <c r="C25"/>
  <c r="I23"/>
  <c r="H22"/>
  <c r="G21"/>
  <c r="F27"/>
  <c r="E26"/>
  <c r="D25"/>
  <c r="C24"/>
  <c r="I22"/>
  <c r="H21"/>
  <c r="G27"/>
  <c r="F26"/>
  <c r="E25"/>
  <c r="D24"/>
  <c r="C23"/>
  <c r="I21"/>
  <c r="H27"/>
  <c r="G26"/>
  <c r="F25"/>
  <c r="E24"/>
  <c r="D23"/>
  <c r="C22"/>
  <c r="I27"/>
  <c r="H26"/>
  <c r="G25"/>
  <c r="F24"/>
  <c r="E23"/>
  <c r="D22"/>
  <c r="H7" i="7"/>
  <c r="F53" i="3" a="1"/>
  <c r="F53" s="1"/>
  <c r="F58" s="1"/>
  <c r="K122" a="1"/>
  <c r="K122" s="1"/>
  <c r="K127" s="1"/>
  <c r="G81" a="1"/>
  <c r="G81" s="1"/>
  <c r="G86" s="1"/>
  <c r="K123" a="1"/>
  <c r="K123" s="1"/>
  <c r="K124" s="1"/>
  <c r="K128" s="1"/>
  <c r="E94" s="1"/>
  <c r="F54" a="1"/>
  <c r="F54" s="1"/>
  <c r="F55" s="1"/>
  <c r="F59" s="1"/>
  <c r="C94" s="1"/>
  <c r="C21"/>
  <c r="F24" s="1" a="1"/>
  <c r="F24" s="1"/>
  <c r="F25" s="1"/>
  <c r="F29" s="1"/>
  <c r="B94" s="1"/>
  <c r="F16"/>
  <c r="F17" s="1"/>
  <c r="G82" a="1"/>
  <c r="G82" s="1"/>
  <c r="E5" i="2"/>
  <c r="E8" s="1"/>
  <c r="E15" s="1"/>
  <c r="F7"/>
  <c r="F8" s="1"/>
  <c r="F15" s="1"/>
  <c r="F10" i="3"/>
  <c r="F23" a="1"/>
  <c r="F23" s="1"/>
  <c r="F28" s="1"/>
  <c r="D8" i="2"/>
  <c r="D60"/>
  <c r="E60"/>
  <c r="F60" s="1"/>
  <c r="B62"/>
  <c r="C61"/>
  <c r="X15" i="9" l="1"/>
  <c r="Z15" s="1"/>
  <c r="I44"/>
  <c r="H42"/>
  <c r="G40"/>
  <c r="C46"/>
  <c r="I43"/>
  <c r="H41"/>
  <c r="C41"/>
  <c r="D43"/>
  <c r="E45"/>
  <c r="D42"/>
  <c r="E44"/>
  <c r="F46"/>
  <c r="X14"/>
  <c r="X16"/>
  <c r="X17"/>
  <c r="X18"/>
  <c r="X19"/>
  <c r="X22"/>
  <c r="Z13" s="1"/>
  <c r="E114"/>
  <c r="F114"/>
  <c r="G114"/>
  <c r="E112"/>
  <c r="C110"/>
  <c r="H44"/>
  <c r="D40"/>
  <c r="C52" s="1" a="1"/>
  <c r="G42"/>
  <c r="C45"/>
  <c r="F40"/>
  <c r="I42"/>
  <c r="I45"/>
  <c r="E41"/>
  <c r="H43"/>
  <c r="D46"/>
  <c r="G41"/>
  <c r="C44"/>
  <c r="D41"/>
  <c r="H45"/>
  <c r="E43"/>
  <c r="I40"/>
  <c r="F45"/>
  <c r="C43"/>
  <c r="E42"/>
  <c r="I46"/>
  <c r="F44"/>
  <c r="C42"/>
  <c r="G46"/>
  <c r="D44"/>
  <c r="G113"/>
  <c r="F112"/>
  <c r="E111"/>
  <c r="D110"/>
  <c r="I114"/>
  <c r="H113"/>
  <c r="G112"/>
  <c r="F111"/>
  <c r="E110"/>
  <c r="D109"/>
  <c r="C108"/>
  <c r="I113"/>
  <c r="H112"/>
  <c r="G111"/>
  <c r="F110"/>
  <c r="E109"/>
  <c r="D108"/>
  <c r="C114"/>
  <c r="I112"/>
  <c r="H111"/>
  <c r="G110"/>
  <c r="F109"/>
  <c r="E108"/>
  <c r="C101"/>
  <c r="C100"/>
  <c r="C102"/>
  <c r="C98"/>
  <c r="C99"/>
  <c r="H101"/>
  <c r="G103"/>
  <c r="I101"/>
  <c r="I98"/>
  <c r="D102"/>
  <c r="F103"/>
  <c r="E97"/>
  <c r="H98"/>
  <c r="I99"/>
  <c r="D99"/>
  <c r="E103"/>
  <c r="H99"/>
  <c r="G98"/>
  <c r="G97"/>
  <c r="I97"/>
  <c r="D100"/>
  <c r="D101"/>
  <c r="F102"/>
  <c r="E100"/>
  <c r="E98"/>
  <c r="C103"/>
  <c r="H103"/>
  <c r="G102"/>
  <c r="G100"/>
  <c r="I100"/>
  <c r="D103"/>
  <c r="D97"/>
  <c r="F99"/>
  <c r="E101"/>
  <c r="E102"/>
  <c r="F101"/>
  <c r="H100"/>
  <c r="H97"/>
  <c r="G99"/>
  <c r="I102"/>
  <c r="F98"/>
  <c r="F97"/>
  <c r="C97"/>
  <c r="I103"/>
  <c r="D98"/>
  <c r="E99"/>
  <c r="F100"/>
  <c r="H102"/>
  <c r="O21" a="1"/>
  <c r="D15" i="2"/>
  <c r="C24" a="1"/>
  <c r="E16"/>
  <c r="D16"/>
  <c r="F16"/>
  <c r="E14"/>
  <c r="D14"/>
  <c r="F14"/>
  <c r="D61"/>
  <c r="E61"/>
  <c r="F61" s="1"/>
  <c r="B63"/>
  <c r="C62"/>
  <c r="Z16" i="9" l="1"/>
  <c r="Z14"/>
  <c r="Z19"/>
  <c r="Z17"/>
  <c r="Z18"/>
  <c r="Q108" a="1"/>
  <c r="Q109" s="1"/>
  <c r="C122" a="1"/>
  <c r="Q97" a="1"/>
  <c r="D55"/>
  <c r="I56"/>
  <c r="F58"/>
  <c r="I54"/>
  <c r="E58"/>
  <c r="J52"/>
  <c r="F56"/>
  <c r="K59"/>
  <c r="G54"/>
  <c r="C58"/>
  <c r="H52"/>
  <c r="D56"/>
  <c r="I59"/>
  <c r="E54"/>
  <c r="J57"/>
  <c r="F52"/>
  <c r="K55"/>
  <c r="G59"/>
  <c r="C54"/>
  <c r="H57"/>
  <c r="D52"/>
  <c r="I55"/>
  <c r="E59"/>
  <c r="H55"/>
  <c r="D59"/>
  <c r="I53"/>
  <c r="E57"/>
  <c r="J60"/>
  <c r="F55"/>
  <c r="K58"/>
  <c r="G53"/>
  <c r="C57"/>
  <c r="H60"/>
  <c r="K56"/>
  <c r="G60"/>
  <c r="C55"/>
  <c r="F60"/>
  <c r="K54"/>
  <c r="E60"/>
  <c r="H56"/>
  <c r="C52"/>
  <c r="H58"/>
  <c r="C53"/>
  <c r="K52"/>
  <c r="G56"/>
  <c r="C60"/>
  <c r="H54"/>
  <c r="D58"/>
  <c r="I52"/>
  <c r="E56"/>
  <c r="J59"/>
  <c r="F54"/>
  <c r="K57"/>
  <c r="G52"/>
  <c r="C56"/>
  <c r="H59"/>
  <c r="D54"/>
  <c r="I57"/>
  <c r="E52"/>
  <c r="J55"/>
  <c r="F59"/>
  <c r="K53"/>
  <c r="G57"/>
  <c r="J53"/>
  <c r="F57"/>
  <c r="K60"/>
  <c r="G55"/>
  <c r="C59"/>
  <c r="H53"/>
  <c r="D57"/>
  <c r="I60"/>
  <c r="E55"/>
  <c r="J58"/>
  <c r="F53"/>
  <c r="I58"/>
  <c r="E53"/>
  <c r="J56"/>
  <c r="D53"/>
  <c r="G58"/>
  <c r="J54"/>
  <c r="D60"/>
  <c r="O21"/>
  <c r="O23"/>
  <c r="O27"/>
  <c r="O24"/>
  <c r="O26"/>
  <c r="O25"/>
  <c r="O22"/>
  <c r="O28"/>
  <c r="F17" i="2"/>
  <c r="F18" s="1"/>
  <c r="E17"/>
  <c r="E18" s="1"/>
  <c r="C24"/>
  <c r="E24" s="1"/>
  <c r="C25"/>
  <c r="E25" s="1"/>
  <c r="C26"/>
  <c r="E26" s="1"/>
  <c r="D17"/>
  <c r="D18" s="1"/>
  <c r="D62"/>
  <c r="E62"/>
  <c r="F62" s="1"/>
  <c r="B64"/>
  <c r="C63"/>
  <c r="Q116" i="9" l="1"/>
  <c r="Q111"/>
  <c r="Q108"/>
  <c r="Q114"/>
  <c r="Q113"/>
  <c r="Q112"/>
  <c r="Q110"/>
  <c r="Q115"/>
  <c r="Q117"/>
  <c r="AB19" a="1"/>
  <c r="AB19" s="1"/>
  <c r="AB18" a="1"/>
  <c r="AB18" s="1"/>
  <c r="X30" s="1"/>
  <c r="AB12"/>
  <c r="D122"/>
  <c r="H122"/>
  <c r="L122"/>
  <c r="F123"/>
  <c r="J123"/>
  <c r="D124"/>
  <c r="H124"/>
  <c r="L124"/>
  <c r="F125"/>
  <c r="J125"/>
  <c r="D126"/>
  <c r="H126"/>
  <c r="L126"/>
  <c r="F127"/>
  <c r="J127"/>
  <c r="D128"/>
  <c r="H128"/>
  <c r="L128"/>
  <c r="F129"/>
  <c r="J129"/>
  <c r="D130"/>
  <c r="H130"/>
  <c r="L130"/>
  <c r="F131"/>
  <c r="J131"/>
  <c r="C122"/>
  <c r="G122"/>
  <c r="K122"/>
  <c r="E123"/>
  <c r="I123"/>
  <c r="C124"/>
  <c r="G124"/>
  <c r="K124"/>
  <c r="E125"/>
  <c r="I125"/>
  <c r="C126"/>
  <c r="G126"/>
  <c r="K126"/>
  <c r="E127"/>
  <c r="I127"/>
  <c r="C128"/>
  <c r="G128"/>
  <c r="K128"/>
  <c r="E129"/>
  <c r="I129"/>
  <c r="C130"/>
  <c r="G130"/>
  <c r="K130"/>
  <c r="E131"/>
  <c r="I131"/>
  <c r="F122"/>
  <c r="J122"/>
  <c r="D123"/>
  <c r="H123"/>
  <c r="L123"/>
  <c r="F124"/>
  <c r="J124"/>
  <c r="D125"/>
  <c r="H125"/>
  <c r="L125"/>
  <c r="F126"/>
  <c r="J126"/>
  <c r="D127"/>
  <c r="H127"/>
  <c r="L127"/>
  <c r="F128"/>
  <c r="J128"/>
  <c r="D129"/>
  <c r="H129"/>
  <c r="L129"/>
  <c r="F130"/>
  <c r="J130"/>
  <c r="D131"/>
  <c r="H131"/>
  <c r="L131"/>
  <c r="E122"/>
  <c r="I122"/>
  <c r="C123"/>
  <c r="G123"/>
  <c r="K123"/>
  <c r="E124"/>
  <c r="I124"/>
  <c r="C125"/>
  <c r="G125"/>
  <c r="K125"/>
  <c r="E126"/>
  <c r="I126"/>
  <c r="C127"/>
  <c r="G127"/>
  <c r="K127"/>
  <c r="E128"/>
  <c r="I128"/>
  <c r="C129"/>
  <c r="G129"/>
  <c r="K129"/>
  <c r="E130"/>
  <c r="I130"/>
  <c r="C131"/>
  <c r="G131"/>
  <c r="K131"/>
  <c r="Q99"/>
  <c r="Q101"/>
  <c r="Q103"/>
  <c r="Q105"/>
  <c r="Q97"/>
  <c r="Q98"/>
  <c r="Q100"/>
  <c r="Q102"/>
  <c r="Q104"/>
  <c r="D13" a="1"/>
  <c r="D14" s="1"/>
  <c r="D16"/>
  <c r="O54" a="1"/>
  <c r="O54" s="1"/>
  <c r="O58" a="1"/>
  <c r="O58" s="1"/>
  <c r="O62" a="1"/>
  <c r="O62" s="1"/>
  <c r="O66" a="1"/>
  <c r="O66" s="1"/>
  <c r="O70" a="1"/>
  <c r="O70" s="1"/>
  <c r="O53" a="1"/>
  <c r="O53" s="1"/>
  <c r="O57" a="1"/>
  <c r="O57" s="1"/>
  <c r="O61" a="1"/>
  <c r="O61" s="1"/>
  <c r="O65" a="1"/>
  <c r="O65" s="1"/>
  <c r="O69" a="1"/>
  <c r="O69" s="1"/>
  <c r="O52" a="1"/>
  <c r="O52" s="1"/>
  <c r="O56" a="1"/>
  <c r="O56" s="1"/>
  <c r="O60" a="1"/>
  <c r="O60" s="1"/>
  <c r="O64" a="1"/>
  <c r="O64" s="1"/>
  <c r="O68" a="1"/>
  <c r="O68" s="1"/>
  <c r="O72" a="1"/>
  <c r="O72" s="1"/>
  <c r="O55" a="1"/>
  <c r="O55" s="1"/>
  <c r="O59" a="1"/>
  <c r="O59" s="1"/>
  <c r="O63" a="1"/>
  <c r="O63" s="1"/>
  <c r="O67" a="1"/>
  <c r="O67" s="1"/>
  <c r="O71" a="1"/>
  <c r="O71" s="1"/>
  <c r="D13"/>
  <c r="Q21"/>
  <c r="D24" i="2" a="1"/>
  <c r="D26" s="1"/>
  <c r="F26" s="1"/>
  <c r="G26" s="1"/>
  <c r="D63"/>
  <c r="E63"/>
  <c r="F63" s="1"/>
  <c r="B65"/>
  <c r="C64"/>
  <c r="S116" i="9" l="1" a="1"/>
  <c r="S116" s="1"/>
  <c r="S117" a="1"/>
  <c r="S117" s="1"/>
  <c r="Z13" i="7" s="1"/>
  <c r="AG4" a="1"/>
  <c r="S108" i="9"/>
  <c r="AB21"/>
  <c r="AB27" s="1"/>
  <c r="X35"/>
  <c r="X32"/>
  <c r="X36"/>
  <c r="X33"/>
  <c r="X37"/>
  <c r="X34"/>
  <c r="X31"/>
  <c r="Z37" s="1" a="1"/>
  <c r="Z37" s="1"/>
  <c r="AG4" i="7"/>
  <c r="AG7"/>
  <c r="AG10"/>
  <c r="AG6"/>
  <c r="AG9"/>
  <c r="AG5"/>
  <c r="AG8"/>
  <c r="AF4" a="1"/>
  <c r="P125" i="9" a="1"/>
  <c r="P125" s="1"/>
  <c r="P129" a="1"/>
  <c r="P129" s="1"/>
  <c r="P133" a="1"/>
  <c r="P133" s="1"/>
  <c r="P137" a="1"/>
  <c r="P137" s="1"/>
  <c r="P141" a="1"/>
  <c r="P141" s="1"/>
  <c r="P124" a="1"/>
  <c r="P124" s="1"/>
  <c r="P128" a="1"/>
  <c r="P128" s="1"/>
  <c r="P132" a="1"/>
  <c r="P132" s="1"/>
  <c r="P136" a="1"/>
  <c r="P136" s="1"/>
  <c r="P140" a="1"/>
  <c r="P140" s="1"/>
  <c r="P131" a="1"/>
  <c r="P131" s="1"/>
  <c r="P135" a="1"/>
  <c r="P135" s="1"/>
  <c r="P122" a="1"/>
  <c r="P122" s="1"/>
  <c r="P126" a="1"/>
  <c r="P126" s="1"/>
  <c r="P134" a="1"/>
  <c r="P134" s="1"/>
  <c r="P142" a="1"/>
  <c r="P142" s="1"/>
  <c r="P123" a="1"/>
  <c r="P123" s="1"/>
  <c r="P127" a="1"/>
  <c r="P127" s="1"/>
  <c r="P139" a="1"/>
  <c r="P139" s="1"/>
  <c r="P130" a="1"/>
  <c r="P130" s="1"/>
  <c r="P138" a="1"/>
  <c r="P138" s="1"/>
  <c r="S97"/>
  <c r="S105" a="1"/>
  <c r="S105" s="1"/>
  <c r="AF13" i="7" s="1"/>
  <c r="S104" i="9" a="1"/>
  <c r="S104" s="1"/>
  <c r="AF12" i="7" s="1"/>
  <c r="D18" i="9"/>
  <c r="D15"/>
  <c r="D17"/>
  <c r="D19"/>
  <c r="D24" i="2"/>
  <c r="F24" s="1"/>
  <c r="G24" s="1"/>
  <c r="D25"/>
  <c r="F25" s="1"/>
  <c r="G25" s="1"/>
  <c r="D64"/>
  <c r="E64"/>
  <c r="F64" s="1"/>
  <c r="B66"/>
  <c r="C65"/>
  <c r="Z30" i="9" l="1"/>
  <c r="AF4" i="7"/>
  <c r="AF5"/>
  <c r="AF9"/>
  <c r="AF7"/>
  <c r="AF8"/>
  <c r="AF10"/>
  <c r="AF6"/>
  <c r="G18" i="9" a="1"/>
  <c r="G18" s="1"/>
  <c r="G19" a="1"/>
  <c r="G19" s="1"/>
  <c r="D65" i="2"/>
  <c r="E65"/>
  <c r="F65" s="1"/>
  <c r="B67"/>
  <c r="C66"/>
  <c r="D66" l="1"/>
  <c r="E66"/>
  <c r="F66" s="1"/>
  <c r="B68"/>
  <c r="C67"/>
  <c r="D67" l="1"/>
  <c r="E67"/>
  <c r="F67" s="1"/>
  <c r="B69"/>
  <c r="C68"/>
  <c r="D68" l="1"/>
  <c r="E68"/>
  <c r="F68" s="1"/>
  <c r="B70"/>
  <c r="C69"/>
  <c r="D69" l="1"/>
  <c r="E69"/>
  <c r="F69" s="1"/>
  <c r="B71"/>
  <c r="C70"/>
  <c r="D70" l="1"/>
  <c r="E70"/>
  <c r="F70" s="1"/>
  <c r="B72"/>
  <c r="C71"/>
  <c r="D71" l="1"/>
  <c r="E71"/>
  <c r="F71" s="1"/>
  <c r="B73"/>
  <c r="C72"/>
  <c r="D72" l="1"/>
  <c r="E72"/>
  <c r="F72" s="1"/>
  <c r="B74"/>
  <c r="C73"/>
  <c r="D73" l="1"/>
  <c r="E73"/>
  <c r="F73" s="1"/>
  <c r="B75"/>
  <c r="C74"/>
  <c r="D74" l="1"/>
  <c r="E74"/>
  <c r="F74" s="1"/>
  <c r="B76"/>
  <c r="C75"/>
  <c r="D75" l="1"/>
  <c r="E75"/>
  <c r="F75" s="1"/>
  <c r="B77"/>
  <c r="C76"/>
  <c r="D76" l="1"/>
  <c r="E76"/>
  <c r="F76" s="1"/>
  <c r="B78"/>
  <c r="C77"/>
  <c r="D77" l="1"/>
  <c r="E77"/>
  <c r="F77" s="1"/>
  <c r="B79"/>
  <c r="C78"/>
  <c r="D78" l="1"/>
  <c r="E78"/>
  <c r="F78" s="1"/>
  <c r="B80"/>
  <c r="C79"/>
  <c r="D79" l="1"/>
  <c r="E79"/>
  <c r="F79" s="1"/>
  <c r="B81"/>
  <c r="C80"/>
  <c r="D80" l="1"/>
  <c r="E80"/>
  <c r="F80" s="1"/>
  <c r="B82"/>
  <c r="C81"/>
  <c r="D81" l="1"/>
  <c r="E81"/>
  <c r="F81" s="1"/>
  <c r="B83"/>
  <c r="C82"/>
  <c r="D82" l="1"/>
  <c r="E82"/>
  <c r="F82" s="1"/>
  <c r="B84"/>
  <c r="C83"/>
  <c r="D83" l="1"/>
  <c r="E83"/>
  <c r="F83" s="1"/>
  <c r="B85"/>
  <c r="C84"/>
  <c r="D84" l="1"/>
  <c r="E84"/>
  <c r="F84" s="1"/>
  <c r="B86"/>
  <c r="C85"/>
  <c r="D85" l="1"/>
  <c r="E85"/>
  <c r="F85" s="1"/>
  <c r="B87"/>
  <c r="C86"/>
  <c r="D86" l="1"/>
  <c r="E86"/>
  <c r="F86" s="1"/>
  <c r="B88"/>
  <c r="C87"/>
  <c r="D87" l="1"/>
  <c r="E87"/>
  <c r="F87" s="1"/>
  <c r="B89"/>
  <c r="C88"/>
  <c r="D88" l="1"/>
  <c r="E88"/>
  <c r="F88" s="1"/>
  <c r="B90"/>
  <c r="C89"/>
  <c r="D89" l="1"/>
  <c r="E89"/>
  <c r="F89" s="1"/>
  <c r="B91"/>
  <c r="C90"/>
  <c r="D90" l="1"/>
  <c r="E90"/>
  <c r="F90" s="1"/>
  <c r="B92"/>
  <c r="C91"/>
  <c r="D91" l="1"/>
  <c r="E91"/>
  <c r="F91" s="1"/>
  <c r="B93"/>
  <c r="C92"/>
  <c r="D92" l="1"/>
  <c r="E92"/>
  <c r="F92" s="1"/>
  <c r="B94"/>
  <c r="C93"/>
  <c r="D93" l="1"/>
  <c r="E93"/>
  <c r="F93" s="1"/>
  <c r="B95"/>
  <c r="C94"/>
  <c r="D94" l="1"/>
  <c r="E94"/>
  <c r="F94" s="1"/>
  <c r="B96"/>
  <c r="C95"/>
  <c r="D95" l="1"/>
  <c r="E95"/>
  <c r="F95" s="1"/>
  <c r="B97"/>
  <c r="C96"/>
  <c r="D96" l="1"/>
  <c r="E96"/>
  <c r="F96" s="1"/>
  <c r="B98"/>
  <c r="C97"/>
  <c r="D97" l="1"/>
  <c r="E97"/>
  <c r="F97" s="1"/>
  <c r="B99"/>
  <c r="C98"/>
  <c r="D98" l="1"/>
  <c r="E98"/>
  <c r="F98" s="1"/>
  <c r="B100"/>
  <c r="C99"/>
  <c r="D99" l="1"/>
  <c r="E99"/>
  <c r="F99" s="1"/>
  <c r="B101"/>
  <c r="C100"/>
  <c r="D100" l="1"/>
  <c r="E100"/>
  <c r="F100" s="1"/>
  <c r="B102"/>
  <c r="C101"/>
  <c r="D101" l="1"/>
  <c r="E101"/>
  <c r="F101" s="1"/>
  <c r="B103"/>
  <c r="C102"/>
  <c r="D102" l="1"/>
  <c r="E102"/>
  <c r="F102" s="1"/>
  <c r="B104"/>
  <c r="C103"/>
  <c r="D103" l="1"/>
  <c r="E103"/>
  <c r="F103" s="1"/>
  <c r="B105"/>
  <c r="C104"/>
  <c r="D104" l="1"/>
  <c r="E104"/>
  <c r="F104" s="1"/>
  <c r="B106"/>
  <c r="C105"/>
  <c r="D105" l="1"/>
  <c r="E105"/>
  <c r="F105" s="1"/>
  <c r="B107"/>
  <c r="C106"/>
  <c r="D106" l="1"/>
  <c r="E106"/>
  <c r="F106" s="1"/>
  <c r="B108"/>
  <c r="C107"/>
  <c r="D107" l="1"/>
  <c r="E107"/>
  <c r="F107" s="1"/>
  <c r="B109"/>
  <c r="C108"/>
  <c r="D108" l="1"/>
  <c r="E108"/>
  <c r="F108" s="1"/>
  <c r="B110"/>
  <c r="C109"/>
  <c r="D109" l="1"/>
  <c r="E109"/>
  <c r="F109" s="1"/>
  <c r="B111"/>
  <c r="C110"/>
  <c r="D110" l="1"/>
  <c r="E110"/>
  <c r="F110" s="1"/>
  <c r="B113"/>
  <c r="C111"/>
  <c r="D111" l="1"/>
  <c r="E111"/>
  <c r="F111" s="1"/>
  <c r="B114"/>
  <c r="C113"/>
  <c r="D113" l="1"/>
  <c r="E113"/>
  <c r="F113" s="1"/>
  <c r="B115"/>
  <c r="C114"/>
  <c r="D114" l="1"/>
  <c r="E114"/>
  <c r="F114" s="1"/>
  <c r="B116"/>
  <c r="C115"/>
  <c r="D115" l="1"/>
  <c r="E115"/>
  <c r="F115" s="1"/>
  <c r="B117"/>
  <c r="C116"/>
  <c r="D116" l="1"/>
  <c r="E116"/>
  <c r="F116" s="1"/>
  <c r="B118"/>
  <c r="C117"/>
  <c r="D117" l="1"/>
  <c r="E117"/>
  <c r="F117" s="1"/>
  <c r="B119"/>
  <c r="C118"/>
  <c r="D118" l="1"/>
  <c r="E118"/>
  <c r="F118" s="1"/>
  <c r="B120"/>
  <c r="C119"/>
  <c r="D119" l="1"/>
  <c r="E119"/>
  <c r="F119" s="1"/>
  <c r="B121"/>
  <c r="C120"/>
  <c r="D120" l="1"/>
  <c r="E120"/>
  <c r="F120" s="1"/>
  <c r="B122"/>
  <c r="C121"/>
  <c r="D121" l="1"/>
  <c r="E121"/>
  <c r="F121" s="1"/>
  <c r="B123"/>
  <c r="C122"/>
  <c r="D122" l="1"/>
  <c r="E122"/>
  <c r="F122" s="1"/>
  <c r="B124"/>
  <c r="C123"/>
  <c r="D123" l="1"/>
  <c r="E123"/>
  <c r="F123" s="1"/>
  <c r="B125"/>
  <c r="C124"/>
  <c r="D124" l="1"/>
  <c r="E124"/>
  <c r="F124" s="1"/>
  <c r="B126"/>
  <c r="C125"/>
  <c r="D125" l="1"/>
  <c r="E125"/>
  <c r="F125" s="1"/>
  <c r="B127"/>
  <c r="C126"/>
  <c r="D126" l="1"/>
  <c r="E126"/>
  <c r="F126" s="1"/>
  <c r="B128"/>
  <c r="C127"/>
  <c r="D127" l="1"/>
  <c r="E127"/>
  <c r="F127" s="1"/>
  <c r="B129"/>
  <c r="C128"/>
  <c r="D128" l="1"/>
  <c r="E128"/>
  <c r="F128" s="1"/>
  <c r="B130"/>
  <c r="C129"/>
  <c r="D129" l="1"/>
  <c r="E129"/>
  <c r="F129" s="1"/>
  <c r="B131"/>
  <c r="C130"/>
  <c r="D130" l="1"/>
  <c r="E130"/>
  <c r="F130" s="1"/>
  <c r="B132"/>
  <c r="C131"/>
  <c r="D131" l="1"/>
  <c r="E131"/>
  <c r="F131" s="1"/>
  <c r="B133"/>
  <c r="C132"/>
  <c r="D132" l="1"/>
  <c r="E132"/>
  <c r="F132" s="1"/>
  <c r="B134"/>
  <c r="C133"/>
  <c r="D133" l="1"/>
  <c r="E133"/>
  <c r="F133" s="1"/>
  <c r="B135"/>
  <c r="C134"/>
  <c r="D134" l="1"/>
  <c r="E134"/>
  <c r="F134" s="1"/>
  <c r="B136"/>
  <c r="C135"/>
  <c r="D135" l="1"/>
  <c r="E135"/>
  <c r="F135" s="1"/>
  <c r="C136"/>
  <c r="B137"/>
  <c r="D136" l="1"/>
  <c r="E136"/>
  <c r="F136" s="1"/>
  <c r="C137"/>
  <c r="B138"/>
  <c r="D137" l="1"/>
  <c r="E137"/>
  <c r="F137" s="1"/>
  <c r="B139"/>
  <c r="C138"/>
  <c r="D138" l="1"/>
  <c r="E138"/>
  <c r="F138" s="1"/>
  <c r="B140"/>
  <c r="C139"/>
  <c r="D139" l="1"/>
  <c r="E139"/>
  <c r="F139" s="1"/>
  <c r="B141"/>
  <c r="C140"/>
  <c r="D140" l="1"/>
  <c r="E140"/>
  <c r="F140" s="1"/>
  <c r="B142"/>
  <c r="C141"/>
  <c r="D141" l="1"/>
  <c r="E141"/>
  <c r="F141" s="1"/>
  <c r="B143"/>
  <c r="C142"/>
  <c r="D142" l="1"/>
  <c r="E142"/>
  <c r="F142" s="1"/>
  <c r="B144"/>
  <c r="C143"/>
  <c r="D143" l="1"/>
  <c r="E143"/>
  <c r="F143" s="1"/>
  <c r="B145"/>
  <c r="C144"/>
  <c r="D144" l="1"/>
  <c r="E144"/>
  <c r="F144" s="1"/>
  <c r="B146"/>
  <c r="C145"/>
  <c r="D145" l="1"/>
  <c r="E145"/>
  <c r="F145" s="1"/>
  <c r="B147"/>
  <c r="C146"/>
  <c r="D146" l="1"/>
  <c r="E146"/>
  <c r="F146" s="1"/>
  <c r="B148"/>
  <c r="C147"/>
  <c r="D147" l="1"/>
  <c r="E147"/>
  <c r="F147" s="1"/>
  <c r="B149"/>
  <c r="C148"/>
  <c r="D148" l="1"/>
  <c r="E148"/>
  <c r="F148" s="1"/>
  <c r="B150"/>
  <c r="C149"/>
  <c r="D149" l="1"/>
  <c r="E149"/>
  <c r="F149" s="1"/>
  <c r="B151"/>
  <c r="C150"/>
  <c r="D150" l="1"/>
  <c r="E150"/>
  <c r="F150" s="1"/>
  <c r="B152"/>
  <c r="C151"/>
  <c r="D151" l="1"/>
  <c r="E151"/>
  <c r="F151" s="1"/>
  <c r="B153"/>
  <c r="C152"/>
  <c r="D152" l="1"/>
  <c r="E152"/>
  <c r="F152" s="1"/>
  <c r="B154"/>
  <c r="C153"/>
  <c r="D153" l="1"/>
  <c r="E153"/>
  <c r="F153" s="1"/>
  <c r="B155"/>
  <c r="C154"/>
  <c r="D154" l="1"/>
  <c r="E154"/>
  <c r="F154" s="1"/>
  <c r="B156"/>
  <c r="C155"/>
  <c r="D155" l="1"/>
  <c r="E155"/>
  <c r="F155" s="1"/>
  <c r="B157"/>
  <c r="C156"/>
  <c r="D156" l="1"/>
  <c r="E156"/>
  <c r="F156" s="1"/>
  <c r="B158"/>
  <c r="C157"/>
  <c r="D157" l="1"/>
  <c r="E157"/>
  <c r="F157" s="1"/>
  <c r="B159"/>
  <c r="C158"/>
  <c r="D158" l="1"/>
  <c r="E158"/>
  <c r="F158" s="1"/>
  <c r="B160"/>
  <c r="C159"/>
  <c r="D159" l="1"/>
  <c r="E159"/>
  <c r="F159" s="1"/>
  <c r="B161"/>
  <c r="C160"/>
  <c r="D160" l="1"/>
  <c r="E160"/>
  <c r="F160" s="1"/>
  <c r="B162"/>
  <c r="C161"/>
  <c r="D161" l="1"/>
  <c r="E161"/>
  <c r="F161" s="1"/>
  <c r="B163"/>
  <c r="C162"/>
  <c r="D162" l="1"/>
  <c r="E162"/>
  <c r="F162" s="1"/>
  <c r="B164"/>
  <c r="C163"/>
  <c r="D163" l="1"/>
  <c r="E163"/>
  <c r="F163" s="1"/>
  <c r="B165"/>
  <c r="C164"/>
  <c r="D164" l="1"/>
  <c r="E164"/>
  <c r="F164" s="1"/>
  <c r="B166"/>
  <c r="C165"/>
  <c r="D165" l="1"/>
  <c r="E165"/>
  <c r="F165" s="1"/>
  <c r="B167"/>
  <c r="C166"/>
  <c r="D166" l="1"/>
  <c r="E166"/>
  <c r="F166" s="1"/>
  <c r="B168"/>
  <c r="C167"/>
  <c r="D167" l="1"/>
  <c r="E167"/>
  <c r="F167" s="1"/>
  <c r="B169"/>
  <c r="C168"/>
  <c r="D168" l="1"/>
  <c r="E168"/>
  <c r="F168" s="1"/>
  <c r="B170"/>
  <c r="C169"/>
  <c r="D169" l="1"/>
  <c r="E169"/>
  <c r="F169" s="1"/>
  <c r="B171"/>
  <c r="C170"/>
  <c r="D170" l="1"/>
  <c r="E170"/>
  <c r="F170" s="1"/>
  <c r="B172"/>
  <c r="C171"/>
  <c r="D171" l="1"/>
  <c r="E171"/>
  <c r="F171" s="1"/>
  <c r="B173"/>
  <c r="C172"/>
  <c r="D172" l="1"/>
  <c r="E172"/>
  <c r="F172" s="1"/>
  <c r="C173"/>
  <c r="B174"/>
  <c r="D173" l="1"/>
  <c r="E173"/>
  <c r="F173" s="1"/>
  <c r="C174"/>
  <c r="B175"/>
  <c r="D174" l="1"/>
  <c r="E174"/>
  <c r="F174" s="1"/>
  <c r="B176"/>
  <c r="C175"/>
  <c r="D175" l="1"/>
  <c r="E175"/>
  <c r="F175" s="1"/>
  <c r="B177"/>
  <c r="C176"/>
  <c r="D176" l="1"/>
  <c r="E176"/>
  <c r="F176" s="1"/>
  <c r="B178"/>
  <c r="C177"/>
  <c r="D177" l="1"/>
  <c r="E177"/>
  <c r="F177" s="1"/>
  <c r="B179"/>
  <c r="C178"/>
  <c r="D178" l="1"/>
  <c r="E178"/>
  <c r="F178" s="1"/>
  <c r="B180"/>
  <c r="C179"/>
  <c r="D179" l="1"/>
  <c r="E179"/>
  <c r="F179" s="1"/>
  <c r="B181"/>
  <c r="C180"/>
  <c r="D180" l="1"/>
  <c r="E180"/>
  <c r="F180" s="1"/>
  <c r="B182"/>
  <c r="C181"/>
  <c r="D181" l="1"/>
  <c r="E181"/>
  <c r="F181" s="1"/>
  <c r="B183"/>
  <c r="C182"/>
  <c r="D182" l="1"/>
  <c r="E182"/>
  <c r="F182" s="1"/>
  <c r="B184"/>
  <c r="C183"/>
  <c r="D183" l="1"/>
  <c r="E183"/>
  <c r="F183" s="1"/>
  <c r="B185"/>
  <c r="C184"/>
  <c r="D184" l="1"/>
  <c r="E184"/>
  <c r="F184" s="1"/>
  <c r="C185"/>
  <c r="B186"/>
  <c r="D185" l="1"/>
  <c r="E185"/>
  <c r="F185" s="1"/>
  <c r="C186"/>
  <c r="B187"/>
  <c r="D186" l="1"/>
  <c r="E186"/>
  <c r="F186" s="1"/>
  <c r="B188"/>
  <c r="C187"/>
  <c r="D187" l="1"/>
  <c r="E187"/>
  <c r="F187" s="1"/>
  <c r="B189"/>
  <c r="C188"/>
  <c r="D188" l="1"/>
  <c r="E188"/>
  <c r="F188" s="1"/>
  <c r="B190"/>
  <c r="C189"/>
  <c r="D189" l="1"/>
  <c r="E189"/>
  <c r="F189" s="1"/>
  <c r="B191"/>
  <c r="C190"/>
  <c r="D190" l="1"/>
  <c r="E190"/>
  <c r="F190" s="1"/>
  <c r="B192"/>
  <c r="C192" s="1"/>
  <c r="C191"/>
  <c r="D191" l="1"/>
  <c r="E191"/>
  <c r="F191" s="1"/>
  <c r="D192"/>
  <c r="E192"/>
  <c r="F192" s="1"/>
  <c r="G83" i="3"/>
  <c r="G87" s="1"/>
  <c r="D94" s="1"/>
  <c r="P40" i="9" l="1" a="1"/>
  <c r="P45" s="1"/>
  <c r="P42" l="1"/>
  <c r="P44"/>
  <c r="P41"/>
  <c r="P47"/>
  <c r="P48"/>
  <c r="P46"/>
  <c r="P40"/>
  <c r="P43"/>
  <c r="D32" l="1" a="1"/>
  <c r="D37" s="1"/>
  <c r="S47"/>
  <c r="S48" s="1"/>
  <c r="R40"/>
  <c r="D32"/>
  <c r="D34" l="1"/>
  <c r="D33"/>
  <c r="D36"/>
  <c r="D35"/>
  <c r="D38"/>
  <c r="G38" l="1" a="1"/>
  <c r="G38" s="1"/>
  <c r="G37" a="1"/>
  <c r="G37" s="1"/>
</calcChain>
</file>

<file path=xl/comments1.xml><?xml version="1.0" encoding="utf-8"?>
<comments xmlns="http://schemas.openxmlformats.org/spreadsheetml/2006/main">
  <authors>
    <author>Author</author>
  </authors>
  <commentList>
    <comment ref="B172" authorId="0">
      <text>
        <r>
          <rPr>
            <b/>
            <sz val="9"/>
            <color indexed="81"/>
            <rFont val="Tahoma"/>
            <family val="2"/>
          </rPr>
          <t>Author:</t>
        </r>
        <r>
          <rPr>
            <sz val="9"/>
            <color indexed="81"/>
            <rFont val="Tahoma"/>
            <family val="2"/>
          </rPr>
          <t xml:space="preserve">
We use monthly data to calculate historical average returns, we must also annulize them 
if the used the data is daily return data, we will multiple them by 250 </t>
        </r>
      </text>
    </comment>
  </commentList>
</comments>
</file>

<file path=xl/comments2.xml><?xml version="1.0" encoding="utf-8"?>
<comments xmlns="http://schemas.openxmlformats.org/spreadsheetml/2006/main">
  <authors>
    <author>Siraprapa W.</author>
  </authors>
  <commentList>
    <comment ref="Y14" authorId="0">
      <text>
        <r>
          <rPr>
            <b/>
            <sz val="9"/>
            <color indexed="81"/>
            <rFont val="Tahoma"/>
            <family val="2"/>
          </rPr>
          <t>Siraprapa W.:</t>
        </r>
        <r>
          <rPr>
            <sz val="9"/>
            <color indexed="81"/>
            <rFont val="Tahoma"/>
            <family val="2"/>
          </rPr>
          <t xml:space="preserve">
Notice that, if we put more and more constraint..the efficient frontier will shift to the right--&gt; more risky zone</t>
        </r>
      </text>
    </comment>
  </commentList>
</comments>
</file>

<file path=xl/comments3.xml><?xml version="1.0" encoding="utf-8"?>
<comments xmlns="http://schemas.openxmlformats.org/spreadsheetml/2006/main">
  <authors>
    <author>Siraprapa W.</author>
  </authors>
  <commentList>
    <comment ref="AB21" authorId="0">
      <text>
        <r>
          <rPr>
            <b/>
            <sz val="9"/>
            <color indexed="81"/>
            <rFont val="Tahoma"/>
            <family val="2"/>
          </rPr>
          <t>Siraprapa W.:</t>
        </r>
        <r>
          <rPr>
            <sz val="9"/>
            <color indexed="81"/>
            <rFont val="Tahoma"/>
            <family val="2"/>
          </rPr>
          <t xml:space="preserve">
Max Shape Ratio</t>
        </r>
      </text>
    </comment>
    <comment ref="X30" authorId="0">
      <text>
        <r>
          <rPr>
            <b/>
            <sz val="9"/>
            <color indexed="81"/>
            <rFont val="Tahoma"/>
            <family val="2"/>
          </rPr>
          <t>Siraprapa W.:</t>
        </r>
        <r>
          <rPr>
            <sz val="9"/>
            <color indexed="81"/>
            <rFont val="Tahoma"/>
            <family val="2"/>
          </rPr>
          <t xml:space="preserve">
Xb=(Rp-Rm)/(Rf-Rm)
If Xb is positive--&gt;buy bond(lend money)
If Xb is negative --&gt;short bond(borrow money)</t>
        </r>
      </text>
    </comment>
  </commentList>
</comments>
</file>

<file path=xl/comments4.xml><?xml version="1.0" encoding="utf-8"?>
<comments xmlns="http://schemas.openxmlformats.org/spreadsheetml/2006/main">
  <authors>
    <author>Author</author>
  </authors>
  <commentList>
    <comment ref="J69" authorId="0">
      <text>
        <r>
          <rPr>
            <b/>
            <sz val="10"/>
            <color indexed="81"/>
            <rFont val="Tahoma"/>
            <family val="2"/>
          </rPr>
          <t>This shows how "high" the pdf is at the mean for each stock.</t>
        </r>
      </text>
    </comment>
    <comment ref="A85" authorId="0">
      <text>
        <r>
          <rPr>
            <b/>
            <sz val="10"/>
            <color indexed="81"/>
            <rFont val="Tahoma"/>
            <family val="2"/>
          </rPr>
          <t>For the standard deviation and corrrelation functions, we use the Excel function for the sample, not assuming we have the entire population.  But for the COV function, Excel only provides the formula for the entire population.  Therefore, we must multiply the Excel result by n/(n-1), or 3/2 in our example, to get the sample covariance.</t>
        </r>
      </text>
    </comment>
    <comment ref="C85" authorId="0">
      <text>
        <r>
          <rPr>
            <b/>
            <sz val="10"/>
            <color indexed="81"/>
            <rFont val="Tahoma"/>
            <family val="2"/>
          </rPr>
          <t>For the standard deviation and corrrelation functions, we use the Excel function for the sample, not assuming we have the entire population.  But for the COV function, Excel only provides the formula for the entire population.  Therefore, we must multiply the Excel result by n/(n-1), or 3/2 in our example, to get the sample covariance.</t>
        </r>
      </text>
    </comment>
    <comment ref="D123" authorId="0">
      <text>
        <r>
          <rPr>
            <b/>
            <sz val="8"/>
            <color indexed="81"/>
            <rFont val="Tahoma"/>
            <family val="2"/>
          </rPr>
          <t xml:space="preserve">Yahoo actually adjusts the stock prices to reflect any stock splits or dividend payments.  For example, suppose the stock price is $100 in July, the company has a 2-for-1 split, and the actual price in August is $60.  The reported adjusted price for August would be $60, but the reported price for July would be $50, which reflects the stock split.  This gives an accurate stock return of 20%: ($60-$50)/$50 = 20%, the same as if there had not been a split, in which case the return would have been ($120-$100)/$100 = 20%.  
Or suppose the actual price in September is $50,the company pays a $10 dividend, and the actual price in October is $60.  Shareholders have had a return of ($60+$10-$50)/$50 = 40%.  Yahoo reports an adjusted price of $60 for October, and an adjusted price of $42.857 for September, which gives a return of ($60-$42.857)/$42.857 = 40%.
In other words, the percent change in the adjusted price accurately reflects the actual return.
</t>
        </r>
      </text>
    </comment>
    <comment ref="C124" authorId="0">
      <text>
        <r>
          <rPr>
            <b/>
            <sz val="9"/>
            <color indexed="81"/>
            <rFont val="Tahoma"/>
            <family val="2"/>
          </rPr>
          <t>Author:</t>
        </r>
        <r>
          <rPr>
            <sz val="9"/>
            <color indexed="81"/>
            <rFont val="Tahoma"/>
            <family val="2"/>
          </rPr>
          <t xml:space="preserve">
This is Discrete Return formula. --&gt; meaning you assume that the stock price/index price behaves like </t>
        </r>
        <r>
          <rPr>
            <b/>
            <sz val="9"/>
            <color indexed="81"/>
            <rFont val="Tahoma"/>
            <family val="2"/>
          </rPr>
          <t>Discrete Random Variable</t>
        </r>
        <r>
          <rPr>
            <sz val="9"/>
            <color indexed="81"/>
            <rFont val="Tahoma"/>
            <family val="2"/>
          </rPr>
          <t xml:space="preserve">
To use Continuos Return formula, use ln(P1/P0)
In the field of equity investment, option pricing, we usually assume continuos
Why? --&gt;ask your future instructor
</t>
        </r>
      </text>
    </comment>
  </commentList>
</comments>
</file>

<file path=xl/comments5.xml><?xml version="1.0" encoding="utf-8"?>
<comments xmlns="http://schemas.openxmlformats.org/spreadsheetml/2006/main">
  <authors>
    <author>Author</author>
  </authors>
  <commentList>
    <comment ref="C4"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 ref="C13"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List>
</comments>
</file>

<file path=xl/comments6.xml><?xml version="1.0" encoding="utf-8"?>
<comments xmlns="http://schemas.openxmlformats.org/spreadsheetml/2006/main">
  <authors>
    <author>Author</author>
  </authors>
  <commentList>
    <comment ref="C6" authorId="0">
      <text>
        <r>
          <rPr>
            <b/>
            <sz val="9"/>
            <color indexed="81"/>
            <rFont val="Tahoma"/>
            <family val="2"/>
          </rPr>
          <t>Author:</t>
        </r>
        <r>
          <rPr>
            <sz val="9"/>
            <color indexed="81"/>
            <rFont val="Tahoma"/>
            <family val="2"/>
          </rPr>
          <t xml:space="preserve">
Try changing proportion of investment and observe portfolio variance</t>
        </r>
      </text>
    </comment>
    <comment ref="E6" authorId="0">
      <text>
        <r>
          <rPr>
            <b/>
            <sz val="9"/>
            <color indexed="81"/>
            <rFont val="Tahoma"/>
            <family val="2"/>
          </rPr>
          <t>Author:</t>
        </r>
        <r>
          <rPr>
            <sz val="9"/>
            <color indexed="81"/>
            <rFont val="Tahoma"/>
            <family val="2"/>
          </rPr>
          <t xml:space="preserve">
For simplicity, we will assume past realized return as an unbiased proxy of expected return of the selected stock</t>
        </r>
      </text>
    </comment>
    <comment ref="F16" authorId="0">
      <text>
        <r>
          <rPr>
            <b/>
            <sz val="9"/>
            <color indexed="81"/>
            <rFont val="Tahoma"/>
            <family val="2"/>
          </rPr>
          <t>Author:</t>
        </r>
        <r>
          <rPr>
            <sz val="9"/>
            <color indexed="81"/>
            <rFont val="Tahoma"/>
            <family val="2"/>
          </rPr>
          <t xml:space="preserve">
Both method 1 and 2 will give the same value
notice that the port variance is lower than single stock variance</t>
        </r>
      </text>
    </comment>
  </commentList>
</comments>
</file>

<file path=xl/sharedStrings.xml><?xml version="1.0" encoding="utf-8"?>
<sst xmlns="http://schemas.openxmlformats.org/spreadsheetml/2006/main" count="971" uniqueCount="412">
  <si>
    <t>Month End Prices</t>
  </si>
  <si>
    <t>Date</t>
  </si>
  <si>
    <t>ADVANC</t>
  </si>
  <si>
    <t>AOT</t>
  </si>
  <si>
    <t>BBL</t>
  </si>
  <si>
    <t>BGH</t>
  </si>
  <si>
    <t>BECL</t>
  </si>
  <si>
    <t>BAY</t>
  </si>
  <si>
    <t>BANPU</t>
  </si>
  <si>
    <t>BEC</t>
  </si>
  <si>
    <t>BIGC</t>
  </si>
  <si>
    <t>BH</t>
  </si>
  <si>
    <t>CCET</t>
  </si>
  <si>
    <t>CPN</t>
  </si>
  <si>
    <t>CPF</t>
  </si>
  <si>
    <t>CPALL</t>
  </si>
  <si>
    <t>DELTA</t>
  </si>
  <si>
    <t>EGCO</t>
  </si>
  <si>
    <t>GLOW</t>
  </si>
  <si>
    <t>HANA</t>
  </si>
  <si>
    <t>IRPC</t>
  </si>
  <si>
    <t>ITD</t>
  </si>
  <si>
    <t>KBANK</t>
  </si>
  <si>
    <t>KSL</t>
  </si>
  <si>
    <t>KTB</t>
  </si>
  <si>
    <t>LH</t>
  </si>
  <si>
    <t>MCOT</t>
  </si>
  <si>
    <t>MINT</t>
  </si>
  <si>
    <t>PSL</t>
  </si>
  <si>
    <t>PS</t>
  </si>
  <si>
    <t>PTTEP</t>
  </si>
  <si>
    <t>PTT</t>
  </si>
  <si>
    <t>RATCH</t>
  </si>
  <si>
    <t>SCC</t>
  </si>
  <si>
    <t>SCCC</t>
  </si>
  <si>
    <t>SCB</t>
  </si>
  <si>
    <t>MAKRO</t>
  </si>
  <si>
    <t>TSTH</t>
  </si>
  <si>
    <t>THAI</t>
  </si>
  <si>
    <t>TOP</t>
  </si>
  <si>
    <t>TPC</t>
  </si>
  <si>
    <t>TUF</t>
  </si>
  <si>
    <t>TCAP</t>
  </si>
  <si>
    <t xml:space="preserve">TTA </t>
  </si>
  <si>
    <t>TMB</t>
  </si>
  <si>
    <t>SET50</t>
  </si>
  <si>
    <t>Probability</t>
  </si>
  <si>
    <t>Last 6 Month</t>
  </si>
  <si>
    <t>Last Year</t>
  </si>
  <si>
    <t>Last 3 Years</t>
  </si>
  <si>
    <t>Last 2 Years</t>
  </si>
  <si>
    <t>Normal</t>
  </si>
  <si>
    <t>Expected Returns</t>
  </si>
  <si>
    <t>Scenario</t>
  </si>
  <si>
    <t>Expected Return,E(Ri)</t>
  </si>
  <si>
    <r>
      <t>Variance,</t>
    </r>
    <r>
      <rPr>
        <b/>
        <sz val="11"/>
        <color theme="1"/>
        <rFont val="Symbol"/>
        <family val="1"/>
        <charset val="2"/>
      </rPr>
      <t>s</t>
    </r>
    <r>
      <rPr>
        <b/>
        <vertAlign val="superscript"/>
        <sz val="11"/>
        <color theme="1"/>
        <rFont val="Calibri"/>
        <family val="2"/>
        <scheme val="minor"/>
      </rPr>
      <t>2</t>
    </r>
  </si>
  <si>
    <r>
      <t>Standard Deviation,</t>
    </r>
    <r>
      <rPr>
        <b/>
        <sz val="11"/>
        <color theme="1"/>
        <rFont val="Symbol"/>
        <family val="1"/>
        <charset val="2"/>
      </rPr>
      <t>s</t>
    </r>
  </si>
  <si>
    <t>Drawdown</t>
  </si>
  <si>
    <t>Z</t>
  </si>
  <si>
    <t>Monthly Average</t>
  </si>
  <si>
    <t>Monthly Returns</t>
  </si>
  <si>
    <t>Annualized Average Returns</t>
  </si>
  <si>
    <t>Probability of Drawdown</t>
  </si>
  <si>
    <t>Z Score</t>
  </si>
  <si>
    <t>E(Ri)</t>
  </si>
  <si>
    <t>s</t>
  </si>
  <si>
    <t>CDF</t>
  </si>
  <si>
    <t>Risks</t>
  </si>
  <si>
    <t>Good(+50%)</t>
  </si>
  <si>
    <t>Bad(-50%)</t>
  </si>
  <si>
    <t>2 Assets</t>
  </si>
  <si>
    <t>Stock</t>
  </si>
  <si>
    <t>Investment</t>
  </si>
  <si>
    <t>Weight</t>
  </si>
  <si>
    <t>Table for Single Asset Sheet</t>
  </si>
  <si>
    <t>Table for Portflio Sheet</t>
  </si>
  <si>
    <r>
      <t>PDF</t>
    </r>
    <r>
      <rPr>
        <vertAlign val="subscript"/>
        <sz val="11"/>
        <color theme="0"/>
        <rFont val="Calibri"/>
        <family val="2"/>
        <scheme val="minor"/>
      </rPr>
      <t>1</t>
    </r>
  </si>
  <si>
    <r>
      <t>PDF</t>
    </r>
    <r>
      <rPr>
        <vertAlign val="subscript"/>
        <sz val="11"/>
        <color theme="0"/>
        <rFont val="Calibri"/>
        <family val="2"/>
        <scheme val="minor"/>
      </rPr>
      <t>2</t>
    </r>
  </si>
  <si>
    <r>
      <t>X</t>
    </r>
    <r>
      <rPr>
        <vertAlign val="subscript"/>
        <sz val="11"/>
        <color theme="0"/>
        <rFont val="Calibri"/>
        <family val="2"/>
        <scheme val="minor"/>
      </rPr>
      <t>1</t>
    </r>
    <r>
      <rPr>
        <sz val="11"/>
        <color theme="0"/>
        <rFont val="Calibri"/>
        <family val="2"/>
        <scheme val="minor"/>
      </rPr>
      <t>=</t>
    </r>
    <r>
      <rPr>
        <sz val="11"/>
        <color theme="0"/>
        <rFont val="Symbol"/>
        <family val="1"/>
        <charset val="2"/>
      </rPr>
      <t>m</t>
    </r>
    <r>
      <rPr>
        <vertAlign val="subscript"/>
        <sz val="11"/>
        <color theme="0"/>
        <rFont val="Symbol"/>
        <family val="1"/>
        <charset val="2"/>
      </rPr>
      <t>1</t>
    </r>
    <r>
      <rPr>
        <sz val="11"/>
        <color theme="0"/>
        <rFont val="Calibri"/>
        <family val="2"/>
        <scheme val="minor"/>
      </rPr>
      <t>+Z</t>
    </r>
    <r>
      <rPr>
        <sz val="11"/>
        <color theme="0"/>
        <rFont val="Symbol"/>
        <family val="1"/>
        <charset val="2"/>
      </rPr>
      <t>s</t>
    </r>
    <r>
      <rPr>
        <vertAlign val="subscript"/>
        <sz val="11"/>
        <color theme="0"/>
        <rFont val="Symbol"/>
        <family val="1"/>
        <charset val="2"/>
      </rPr>
      <t>1</t>
    </r>
  </si>
  <si>
    <r>
      <t>X</t>
    </r>
    <r>
      <rPr>
        <vertAlign val="subscript"/>
        <sz val="11"/>
        <color theme="0"/>
        <rFont val="Calibri"/>
        <family val="2"/>
        <scheme val="minor"/>
      </rPr>
      <t>2</t>
    </r>
    <r>
      <rPr>
        <sz val="11"/>
        <color theme="0"/>
        <rFont val="Calibri"/>
        <family val="2"/>
        <scheme val="minor"/>
      </rPr>
      <t>=</t>
    </r>
    <r>
      <rPr>
        <sz val="11"/>
        <color theme="0"/>
        <rFont val="Symbol"/>
        <family val="1"/>
        <charset val="2"/>
      </rPr>
      <t>m</t>
    </r>
    <r>
      <rPr>
        <vertAlign val="subscript"/>
        <sz val="11"/>
        <color theme="0"/>
        <rFont val="Symbol"/>
        <family val="1"/>
        <charset val="2"/>
      </rPr>
      <t>2</t>
    </r>
    <r>
      <rPr>
        <sz val="11"/>
        <color theme="0"/>
        <rFont val="Calibri"/>
        <family val="2"/>
        <scheme val="minor"/>
      </rPr>
      <t>+Z</t>
    </r>
    <r>
      <rPr>
        <sz val="11"/>
        <color theme="0"/>
        <rFont val="Symbol"/>
        <family val="1"/>
        <charset val="2"/>
      </rPr>
      <t>s</t>
    </r>
    <r>
      <rPr>
        <vertAlign val="subscript"/>
        <sz val="11"/>
        <color theme="0"/>
        <rFont val="Symbol"/>
        <family val="1"/>
        <charset val="2"/>
      </rPr>
      <t>2</t>
    </r>
  </si>
  <si>
    <r>
      <t>m</t>
    </r>
    <r>
      <rPr>
        <vertAlign val="subscript"/>
        <sz val="11"/>
        <color theme="0"/>
        <rFont val="Symbol"/>
        <family val="1"/>
        <charset val="2"/>
      </rPr>
      <t>1</t>
    </r>
  </si>
  <si>
    <r>
      <t>s</t>
    </r>
    <r>
      <rPr>
        <vertAlign val="subscript"/>
        <sz val="11"/>
        <color theme="0"/>
        <rFont val="Symbol"/>
        <family val="1"/>
        <charset val="2"/>
      </rPr>
      <t>1</t>
    </r>
  </si>
  <si>
    <r>
      <t>m</t>
    </r>
    <r>
      <rPr>
        <vertAlign val="subscript"/>
        <sz val="11"/>
        <color theme="0"/>
        <rFont val="Symbol"/>
        <family val="1"/>
        <charset val="2"/>
      </rPr>
      <t>2</t>
    </r>
  </si>
  <si>
    <r>
      <t>s</t>
    </r>
    <r>
      <rPr>
        <vertAlign val="subscript"/>
        <sz val="11"/>
        <color theme="0"/>
        <rFont val="Symbol"/>
        <family val="1"/>
        <charset val="2"/>
      </rPr>
      <t>2</t>
    </r>
  </si>
  <si>
    <t>Use all observation</t>
  </si>
  <si>
    <t>E(Rp)</t>
  </si>
  <si>
    <t>Portfolio Expected Returns and Risk</t>
  </si>
  <si>
    <r>
      <rPr>
        <b/>
        <sz val="11"/>
        <color theme="1"/>
        <rFont val="Calibri"/>
        <family val="2"/>
        <scheme val="minor"/>
      </rPr>
      <t>Var(p),</t>
    </r>
    <r>
      <rPr>
        <b/>
        <sz val="11"/>
        <color theme="1"/>
        <rFont val="Symbol"/>
        <family val="1"/>
        <charset val="2"/>
      </rPr>
      <t>s</t>
    </r>
    <r>
      <rPr>
        <b/>
        <vertAlign val="superscript"/>
        <sz val="11"/>
        <color theme="1"/>
        <rFont val="Symbol"/>
        <family val="1"/>
        <charset val="2"/>
      </rPr>
      <t>2</t>
    </r>
  </si>
  <si>
    <r>
      <rPr>
        <b/>
        <sz val="11"/>
        <color theme="1"/>
        <rFont val="Calibri"/>
        <family val="2"/>
        <scheme val="minor"/>
      </rPr>
      <t>Standard Deviation,</t>
    </r>
    <r>
      <rPr>
        <b/>
        <sz val="11"/>
        <color theme="1"/>
        <rFont val="Symbol"/>
        <family val="1"/>
        <charset val="2"/>
      </rPr>
      <t>s</t>
    </r>
  </si>
  <si>
    <r>
      <t>s</t>
    </r>
    <r>
      <rPr>
        <b/>
        <vertAlign val="superscript"/>
        <sz val="11"/>
        <color theme="1"/>
        <rFont val="Symbol"/>
        <family val="1"/>
        <charset val="2"/>
      </rPr>
      <t>2</t>
    </r>
  </si>
  <si>
    <r>
      <rPr>
        <b/>
        <sz val="11"/>
        <color theme="1"/>
        <rFont val="Symbol"/>
        <family val="1"/>
        <charset val="2"/>
      </rPr>
      <t>s</t>
    </r>
    <r>
      <rPr>
        <b/>
        <vertAlign val="subscript"/>
        <sz val="11"/>
        <color theme="1"/>
        <rFont val="Calibri"/>
        <family val="2"/>
        <scheme val="minor"/>
      </rPr>
      <t>12</t>
    </r>
  </si>
  <si>
    <r>
      <rPr>
        <b/>
        <sz val="11"/>
        <color theme="1"/>
        <rFont val="Symbol"/>
        <family val="1"/>
        <charset val="2"/>
      </rPr>
      <t>r</t>
    </r>
    <r>
      <rPr>
        <b/>
        <vertAlign val="subscript"/>
        <sz val="11"/>
        <color theme="1"/>
        <rFont val="Calibri"/>
        <family val="2"/>
        <scheme val="minor"/>
      </rPr>
      <t>12</t>
    </r>
  </si>
  <si>
    <t>Matrix Approach</t>
  </si>
  <si>
    <t>S</t>
  </si>
  <si>
    <t>Monthly Variance</t>
  </si>
  <si>
    <t>3 Assets</t>
  </si>
  <si>
    <r>
      <rPr>
        <b/>
        <sz val="11"/>
        <color theme="1"/>
        <rFont val="Symbol"/>
        <family val="1"/>
        <charset val="2"/>
      </rPr>
      <t>s</t>
    </r>
    <r>
      <rPr>
        <b/>
        <vertAlign val="subscript"/>
        <sz val="11"/>
        <color theme="1"/>
        <rFont val="Calibri"/>
        <family val="2"/>
        <scheme val="minor"/>
      </rPr>
      <t>13</t>
    </r>
  </si>
  <si>
    <r>
      <rPr>
        <b/>
        <sz val="11"/>
        <color theme="1"/>
        <rFont val="Symbol"/>
        <family val="1"/>
        <charset val="2"/>
      </rPr>
      <t>s</t>
    </r>
    <r>
      <rPr>
        <b/>
        <vertAlign val="subscript"/>
        <sz val="11"/>
        <color theme="1"/>
        <rFont val="Calibri"/>
        <family val="2"/>
        <scheme val="minor"/>
      </rPr>
      <t>23</t>
    </r>
  </si>
  <si>
    <t>Annualized</t>
  </si>
  <si>
    <t>5 Assets</t>
  </si>
  <si>
    <t>Portfolio Standard Deviation</t>
  </si>
  <si>
    <t>Portfolios of stocks are created to diversify investors from unnecessary risk.  The diversifiable, or idiosyncratic, risk is eliminated as more stocks are added.  Diversification effects are strongest when combining uncorrelated assets.  The following figures illustrate how creating two-stock portfolios with different correlations between the stocks affects the expected return and risk of various fictional portfolios.</t>
  </si>
  <si>
    <r>
      <t xml:space="preserve">Figure 6-9.  Portfolio Risk: Perfect </t>
    </r>
    <r>
      <rPr>
        <b/>
        <u/>
        <sz val="12"/>
        <color indexed="18"/>
        <rFont val="Times New Roman"/>
        <family val="1"/>
      </rPr>
      <t>Negative</t>
    </r>
    <r>
      <rPr>
        <b/>
        <sz val="12"/>
        <color indexed="18"/>
        <rFont val="Times New Roman"/>
        <family val="1"/>
      </rPr>
      <t xml:space="preserve"> Correlation</t>
    </r>
  </si>
  <si>
    <t>Stock W</t>
  </si>
  <si>
    <t>Stock M</t>
  </si>
  <si>
    <t>Weights</t>
  </si>
  <si>
    <t>Year</t>
  </si>
  <si>
    <t>Portfolio WM</t>
  </si>
  <si>
    <t>Average return =</t>
  </si>
  <si>
    <t>Standard deviation =</t>
  </si>
  <si>
    <t>Correlation coefficient =</t>
  </si>
  <si>
    <t>CONCLUSION: When two stocks are perfectly negatively correlated, diversification is its strongest, and in this case the portfolio return is a certain (no risk) 15%.  Of course, this situation is very rare.</t>
  </si>
  <si>
    <r>
      <t xml:space="preserve">Figure 6-10.  Portfolio Risk: Perfect </t>
    </r>
    <r>
      <rPr>
        <b/>
        <u/>
        <sz val="12"/>
        <color indexed="18"/>
        <rFont val="Times New Roman"/>
        <family val="1"/>
      </rPr>
      <t>Positive</t>
    </r>
    <r>
      <rPr>
        <b/>
        <sz val="12"/>
        <color indexed="18"/>
        <rFont val="Times New Roman"/>
        <family val="1"/>
      </rPr>
      <t xml:space="preserve"> Correlation</t>
    </r>
  </si>
  <si>
    <t>Stock W'</t>
  </si>
  <si>
    <t>Portfolio WW'</t>
  </si>
  <si>
    <t>CONCLUSION: When two stocks are perfectly positively correlated, diversification has no effect, and the portfolio's risk is a weighted average of its individual stocks' risks.  Note that in this graph only the portfolio returns are visible, but realize that the stocks' returns follow an identical path.</t>
  </si>
  <si>
    <r>
      <t>Figure 6-11.  Portfolio Risk: Imperfect (</t>
    </r>
    <r>
      <rPr>
        <b/>
        <u/>
        <sz val="12"/>
        <color indexed="18"/>
        <rFont val="Times New Roman"/>
        <family val="1"/>
      </rPr>
      <t>Partial)</t>
    </r>
    <r>
      <rPr>
        <b/>
        <sz val="12"/>
        <color indexed="18"/>
        <rFont val="Times New Roman"/>
        <family val="1"/>
      </rPr>
      <t xml:space="preserve"> Correlation</t>
    </r>
  </si>
  <si>
    <t>Stock Y</t>
  </si>
  <si>
    <t>Portfolio WY</t>
  </si>
  <si>
    <t>CONCLUSION: In the case where two stocks are somewhat correlated, diversification is effective in lowering portfolio risk.  Here, the portfolio return is an average of the stock returns and risk is reduced from 22.64% for the individual stocks to 18.62% for the portfolio.  Notice that the portfolio's return is always between that of the two stocks. If more similarly-correlated stocks were added, risk would continue to fall, but as we shall see, there is a limit to how low risk (the portfolio's SD) can go.</t>
  </si>
  <si>
    <t>Chapter 6 Toolkit, Portfolio Risk</t>
  </si>
  <si>
    <t>USING HISTORICAL DATA TO MEASURE RISK</t>
  </si>
  <si>
    <t>Figure 6-7. Standard Deviation Based On a Sample of Historical Data</t>
  </si>
  <si>
    <t>Realized</t>
  </si>
  <si>
    <t>return</t>
  </si>
  <si>
    <t xml:space="preserve">Average =AVERAGE(D11:D13)  = </t>
  </si>
  <si>
    <t xml:space="preserve">Standard deviation =STDEV(D11:D13)  = </t>
  </si>
  <si>
    <t>Use STDEV, the SD for a sample, not STDEVP,</t>
  </si>
  <si>
    <r>
      <t xml:space="preserve">RISK IN A PORTFOLIO CONTEXT  </t>
    </r>
    <r>
      <rPr>
        <b/>
        <sz val="9"/>
        <color theme="0"/>
        <rFont val="Times New Roman"/>
        <family val="1"/>
      </rPr>
      <t>(Section 6.3)</t>
    </r>
  </si>
  <si>
    <t>Portfolio Expected Return</t>
  </si>
  <si>
    <t>The expected return on a portfolio is simply a weighted average of the expected returns of the individual assets in the portfolio. The weights are the percentage of total portfolio funds invested in each asset. Consider the following portfolio and the hypothetical illustrative returns data.</t>
  </si>
  <si>
    <t>Figure 6-8. Expected Returns on a Portfolio of Stocks</t>
  </si>
  <si>
    <t>Amount of Investment</t>
  </si>
  <si>
    <t>Portfolio
 Weight</t>
  </si>
  <si>
    <t>Expected
Return</t>
  </si>
  <si>
    <t>Weighted Expected
Return</t>
  </si>
  <si>
    <t>Southwest Airlines</t>
  </si>
  <si>
    <t>Starbucks</t>
  </si>
  <si>
    <t>FedEx</t>
  </si>
  <si>
    <t>Dell</t>
  </si>
  <si>
    <t>Total investment =</t>
  </si>
  <si>
    <t>Portfolio's Expected Return =</t>
  </si>
  <si>
    <t>Table for Equity Analysis Sheet</t>
  </si>
  <si>
    <t>10 Assets</t>
  </si>
  <si>
    <t>Var(p)</t>
  </si>
  <si>
    <t>Std(p)</t>
  </si>
  <si>
    <r>
      <t xml:space="preserve">Compare Portfolio Annualized </t>
    </r>
    <r>
      <rPr>
        <b/>
        <sz val="16"/>
        <color theme="1"/>
        <rFont val="Symbol"/>
        <family val="1"/>
        <charset val="2"/>
      </rPr>
      <t>s</t>
    </r>
  </si>
  <si>
    <t>Select Data</t>
  </si>
  <si>
    <t>TAB_PRICES</t>
  </si>
  <si>
    <t>Market Cap</t>
  </si>
  <si>
    <t>Last 4 Years</t>
  </si>
  <si>
    <t>Symbol</t>
  </si>
  <si>
    <t>Name</t>
  </si>
  <si>
    <t>WebURL</t>
  </si>
  <si>
    <t>Industry</t>
  </si>
  <si>
    <t>Last Price</t>
  </si>
  <si>
    <t>52 Wk High</t>
  </si>
  <si>
    <t xml:space="preserve"> 52 Wk Low</t>
  </si>
  <si>
    <t>Volume</t>
  </si>
  <si>
    <t>3M Avg Daily Vol</t>
  </si>
  <si>
    <t>50 Day MovAvg</t>
  </si>
  <si>
    <t>200 Day MovAvg</t>
  </si>
  <si>
    <t>Beta</t>
  </si>
  <si>
    <t>Analyst Consensus    (1-5)</t>
  </si>
  <si>
    <t>Institutional Ownership</t>
  </si>
  <si>
    <t>Debt/ Equity Ratio</t>
  </si>
  <si>
    <t>Gross Margin</t>
  </si>
  <si>
    <t>Profit Margin</t>
  </si>
  <si>
    <t>Total Shares Outstanding (Mil)</t>
  </si>
  <si>
    <t>Market Cap (Bil)</t>
  </si>
  <si>
    <t>TTM Earn/ Share</t>
  </si>
  <si>
    <t>Qtr EPS Estimate</t>
  </si>
  <si>
    <t>FY EPS Estimate</t>
  </si>
  <si>
    <t>Current PE</t>
  </si>
  <si>
    <t>FY PE Estimate</t>
  </si>
  <si>
    <t>Price/ Sales Ratio</t>
  </si>
  <si>
    <t>Price/ Book Value</t>
  </si>
  <si>
    <t>Price/ Cash Flow Ratio</t>
  </si>
  <si>
    <t>ROE</t>
  </si>
  <si>
    <t>ROA</t>
  </si>
  <si>
    <t>ROC</t>
  </si>
  <si>
    <t>Health Grade</t>
  </si>
  <si>
    <t>ADVANCED INFO SERVICE PCL</t>
  </si>
  <si>
    <t>http://www.ais.co.th</t>
  </si>
  <si>
    <t>Telecommunications</t>
  </si>
  <si>
    <t>A</t>
  </si>
  <si>
    <t>AIRPORTS OF THAILAND PCL</t>
  </si>
  <si>
    <t>http://www.airportthai.co.th</t>
  </si>
  <si>
    <t>Engineering&amp;Construction</t>
  </si>
  <si>
    <t>C+</t>
  </si>
  <si>
    <t>BANGKOK BANK PUBLIC CO LTD</t>
  </si>
  <si>
    <t>http://www.bangkokbank.com</t>
  </si>
  <si>
    <t>Banks</t>
  </si>
  <si>
    <t>#N/A N/A</t>
  </si>
  <si>
    <t>BANGKOK DUSIT MED SERVICE</t>
  </si>
  <si>
    <t>http://www.bangkokhospital.com</t>
  </si>
  <si>
    <t>Healthcare-Services</t>
  </si>
  <si>
    <t>BANGKOK EXPRESSWAY PUB CO</t>
  </si>
  <si>
    <t>http://www.becl.co.th</t>
  </si>
  <si>
    <t>Commercial Services</t>
  </si>
  <si>
    <t>C</t>
  </si>
  <si>
    <t>BANK OF AYUDHYA PCL</t>
  </si>
  <si>
    <t>http://www.krungsri.com</t>
  </si>
  <si>
    <t>BANPU PUBLIC CO LTD</t>
  </si>
  <si>
    <t>http://www.banpu.co.th</t>
  </si>
  <si>
    <t>Coal</t>
  </si>
  <si>
    <t>BEC WORLD PUBLIC CO LTD</t>
  </si>
  <si>
    <t>http://www.becworld.com</t>
  </si>
  <si>
    <t>Media</t>
  </si>
  <si>
    <t>BIG C SUPERCENTER PCL</t>
  </si>
  <si>
    <t>http://www.bigc.co.th</t>
  </si>
  <si>
    <t>Retail</t>
  </si>
  <si>
    <t>BUMRUNGRAD HOSPITAL PUB CO</t>
  </si>
  <si>
    <t>http://www.bumrungrad.com</t>
  </si>
  <si>
    <t>CALCOMP ELECTRONICS (THAI)</t>
  </si>
  <si>
    <t>http://www.calcomp.co.th</t>
  </si>
  <si>
    <t>Computers</t>
  </si>
  <si>
    <t>B</t>
  </si>
  <si>
    <t>CENTRAL PATTANA PUB CO LTD</t>
  </si>
  <si>
    <t>http://www.centralpattana.co.th</t>
  </si>
  <si>
    <t>Real Estate</t>
  </si>
  <si>
    <t>CHAROEN POKPHAND FOODS PUB</t>
  </si>
  <si>
    <t>http://www.cpfworldwide.com</t>
  </si>
  <si>
    <t>Food</t>
  </si>
  <si>
    <t>B+</t>
  </si>
  <si>
    <t>CP ALL PCL</t>
  </si>
  <si>
    <t>http://www.7eleven.co.th</t>
  </si>
  <si>
    <t>DELTA ELECTRONICS THAI PCL</t>
  </si>
  <si>
    <t>http://www.deltathailand.com</t>
  </si>
  <si>
    <t>Electronics</t>
  </si>
  <si>
    <t>ELECTRICITY GENERATING PCL</t>
  </si>
  <si>
    <t>http://www.egco.com</t>
  </si>
  <si>
    <t>Electric</t>
  </si>
  <si>
    <t>GLOW ENERGY PCL</t>
  </si>
  <si>
    <t>http://www.glow.co.th</t>
  </si>
  <si>
    <t>HANA MICROELECTRONICS PCL</t>
  </si>
  <si>
    <t>http://www.hanagroup.com</t>
  </si>
  <si>
    <t>IRPC PCL</t>
  </si>
  <si>
    <t>http://www.irpc.co.th</t>
  </si>
  <si>
    <t>Chemicals</t>
  </si>
  <si>
    <t>ITALIAN-THAI DEVELOPMENT PCL</t>
  </si>
  <si>
    <t>http://www.itd.co.th</t>
  </si>
  <si>
    <t>KASIKORNBANK PCL</t>
  </si>
  <si>
    <t>http://www.kasikornbank.com</t>
  </si>
  <si>
    <t>KHON KAEN SUGAR INDUSTRY PCL</t>
  </si>
  <si>
    <t>http://www.kslsugar.com</t>
  </si>
  <si>
    <t>KRUNG THAI BANK PUB CO LTD</t>
  </si>
  <si>
    <t>http://www.ktb.co.th</t>
  </si>
  <si>
    <t>LAND &amp; HOUSES PUB CO LTD</t>
  </si>
  <si>
    <t>http://www.lh.co.th</t>
  </si>
  <si>
    <t>Home Builders</t>
  </si>
  <si>
    <t>MCOT PCL</t>
  </si>
  <si>
    <t>http://www.mcot.net</t>
  </si>
  <si>
    <t>MINOR INTERNATIONAL PCL</t>
  </si>
  <si>
    <t>http://www.minorinternational.com</t>
  </si>
  <si>
    <t>PRECIOUS SHIPPING PCL</t>
  </si>
  <si>
    <t>http://www.preciousshipping.com</t>
  </si>
  <si>
    <t>Transportation</t>
  </si>
  <si>
    <t>PRUKSA REAL ESTATE PCL</t>
  </si>
  <si>
    <t>http://www.pruksa.com</t>
  </si>
  <si>
    <t>PTT EXPLOR &amp; PROD PUBLIC CO</t>
  </si>
  <si>
    <t>http://www.pttep.com</t>
  </si>
  <si>
    <t>Oil&amp;Gas</t>
  </si>
  <si>
    <t>PTT PCL</t>
  </si>
  <si>
    <t>http://www.pttplc.com</t>
  </si>
  <si>
    <t>RATCHABURI ELEC GEN HODG PUB</t>
  </si>
  <si>
    <t>http://www.ratch.co.th/en</t>
  </si>
  <si>
    <t>SIAM CEMENT PUBLIC CO LTD</t>
  </si>
  <si>
    <t>http://www.siamcement.com</t>
  </si>
  <si>
    <t>Holding Companies-Divers</t>
  </si>
  <si>
    <t>SIAM CITY CEMENT PUB CO LTD</t>
  </si>
  <si>
    <t>http://www.siamcitycement.com</t>
  </si>
  <si>
    <t>Building Materials</t>
  </si>
  <si>
    <t>SIAM COMMERCIAL BANK PUB CO</t>
  </si>
  <si>
    <t>http://www.scb.co.th/</t>
  </si>
  <si>
    <t>SIAM MAKRO PUBLIC CO LTD</t>
  </si>
  <si>
    <t>http://www.siammakro.co.th</t>
  </si>
  <si>
    <t>TATA STEEL THAILAND PCL</t>
  </si>
  <si>
    <t>http://www.millenniumsteel.com</t>
  </si>
  <si>
    <t>Iron/Steel</t>
  </si>
  <si>
    <t>THAI AIRWAYS INTERNATIONAL</t>
  </si>
  <si>
    <t>http://www.thaiairways.com</t>
  </si>
  <si>
    <t>Airlines</t>
  </si>
  <si>
    <t>F</t>
  </si>
  <si>
    <t>THAI OIL PCL</t>
  </si>
  <si>
    <t>http://www.thaioil.co.th/</t>
  </si>
  <si>
    <t>THAI PLASTIC &amp; CHEMICALS PCL</t>
  </si>
  <si>
    <t>http://www.thaiplastic.co.th</t>
  </si>
  <si>
    <t>THAI UNION FROZEN PROD PUB</t>
  </si>
  <si>
    <t>http://www.thaiuniongroup.com</t>
  </si>
  <si>
    <t>THANACHART CAPITAL PCL</t>
  </si>
  <si>
    <t>http://www.thanachart.co.th/</t>
  </si>
  <si>
    <t>THORESEN THAI AGENCIES PCL</t>
  </si>
  <si>
    <t>http://www.thoresen.com</t>
  </si>
  <si>
    <t>TMB BANK PCL</t>
  </si>
  <si>
    <t>http://www.tmbbank.com</t>
  </si>
  <si>
    <t>THAI SET 50 INDEX</t>
  </si>
  <si>
    <t>#N/A Field Not Applicable</t>
  </si>
  <si>
    <t>Weigth</t>
  </si>
  <si>
    <t>VCM</t>
  </si>
  <si>
    <t>MVP</t>
  </si>
  <si>
    <t>l</t>
  </si>
  <si>
    <t>Monthly Standard Deviation</t>
  </si>
  <si>
    <t>Efficient Frontier</t>
  </si>
  <si>
    <t>Efficient Portfolio</t>
  </si>
  <si>
    <t>Rp</t>
  </si>
  <si>
    <t>Required</t>
  </si>
  <si>
    <t>Std</t>
  </si>
  <si>
    <t>RQ</t>
  </si>
  <si>
    <r>
      <t>l</t>
    </r>
    <r>
      <rPr>
        <vertAlign val="subscript"/>
        <sz val="11"/>
        <color theme="0"/>
        <rFont val="Symbol"/>
        <family val="1"/>
        <charset val="2"/>
      </rPr>
      <t>1</t>
    </r>
  </si>
  <si>
    <r>
      <t>l</t>
    </r>
    <r>
      <rPr>
        <vertAlign val="subscript"/>
        <sz val="11"/>
        <color theme="0"/>
        <rFont val="Symbol"/>
        <family val="1"/>
        <charset val="2"/>
      </rPr>
      <t>2</t>
    </r>
  </si>
  <si>
    <t>Require Rate of Return</t>
  </si>
  <si>
    <t>Risk</t>
  </si>
  <si>
    <t>MVP_C</t>
  </si>
  <si>
    <t>EP_C</t>
  </si>
  <si>
    <t>NO_CONS</t>
  </si>
  <si>
    <t>Portfolios With Constraint</t>
  </si>
  <si>
    <t>Fixed</t>
  </si>
  <si>
    <t>Chapter 6 Toolkit, Estimating Beta</t>
  </si>
  <si>
    <t>Contribution to Market Risk: Beta</t>
  </si>
  <si>
    <t>The beta coefficient measures the amount of risk that a stock contributes to a well-diversified portfolio.  It also reflects the tendency of a stock to move up and down with the market.  Shown below in the chart and in the table are the returns for three stocks and for the stock market.</t>
  </si>
  <si>
    <t xml:space="preserve">Figure 6-13.  Relative Returns of Stocks H, A, and L </t>
  </si>
  <si>
    <t>Historical Returns</t>
  </si>
  <si>
    <t>Market</t>
  </si>
  <si>
    <t>Stock H</t>
  </si>
  <si>
    <t>Stock A</t>
  </si>
  <si>
    <t>Stock L</t>
  </si>
  <si>
    <t>Average =</t>
  </si>
  <si>
    <t>Beta =</t>
  </si>
  <si>
    <r>
      <t xml:space="preserve">Note: </t>
    </r>
    <r>
      <rPr>
        <b/>
        <sz val="10"/>
        <rFont val="Times New Roman"/>
        <family val="1"/>
      </rPr>
      <t xml:space="preserve">These three stocks plot exactly on their regression lines. This indicates that they are exposed only to market risk. Portfolios that concentrate on stocks with betas of 1.5, 1.0, and 0.5 have patterns similar to those shown in the graph. Standard deviation is calculated with the </t>
    </r>
    <r>
      <rPr>
        <b/>
        <i/>
        <sz val="10"/>
        <rFont val="Times New Roman"/>
        <family val="1"/>
      </rPr>
      <t>Excel</t>
    </r>
    <r>
      <rPr>
        <b/>
        <sz val="10"/>
        <rFont val="Times New Roman"/>
        <family val="1"/>
      </rPr>
      <t xml:space="preserve"> STDEV function because the data come from an historical sample.</t>
    </r>
  </si>
  <si>
    <t>Probability Distributions for H, A, and L</t>
  </si>
  <si>
    <t>Notice that Stock L has the lowest average return, but it also has the tightest distribution. On the other hand, Stock H has the highest average return,  but the widest distribution.</t>
  </si>
  <si>
    <t>Prep work for chart:</t>
  </si>
  <si>
    <t>Calculating Beta for H, A, and L</t>
  </si>
  <si>
    <t>Factor</t>
  </si>
  <si>
    <t>First, calculate correlation and covariance.</t>
  </si>
  <si>
    <r>
      <t xml:space="preserve">Correlation of stock with Market, </t>
    </r>
    <r>
      <rPr>
        <b/>
        <sz val="10"/>
        <rFont val="Symbol"/>
        <family val="1"/>
        <charset val="2"/>
      </rPr>
      <t>r</t>
    </r>
    <r>
      <rPr>
        <b/>
        <vertAlign val="subscript"/>
        <sz val="10"/>
        <rFont val="Times New Roman"/>
        <family val="1"/>
      </rPr>
      <t>i,M</t>
    </r>
  </si>
  <si>
    <t>We use Excel's correlation function, CORREL:
=CORREL($B$39:$B$41,C39:C41)</t>
  </si>
  <si>
    <r>
      <t>Covariance of stock with Market, COV</t>
    </r>
    <r>
      <rPr>
        <b/>
        <vertAlign val="subscript"/>
        <sz val="10"/>
        <rFont val="Times New Roman"/>
        <family val="1"/>
      </rPr>
      <t>i,M</t>
    </r>
  </si>
  <si>
    <r>
      <t xml:space="preserve">We use Excel's covariance function, COV, modified to reflect the fact that this is a sample and not a population: =COVAR($B$39:$B$41,C39:C41)*(3/2). </t>
    </r>
    <r>
      <rPr>
        <b/>
        <sz val="10"/>
        <color rgb="FFFF0000"/>
        <rFont val="Times New Roman"/>
        <family val="1"/>
      </rPr>
      <t>See Formula Help</t>
    </r>
  </si>
  <si>
    <t>Method 1:</t>
  </si>
  <si>
    <r>
      <t>b</t>
    </r>
    <r>
      <rPr>
        <b/>
        <vertAlign val="subscript"/>
        <sz val="10"/>
        <rFont val="Times New Roman"/>
        <family val="1"/>
      </rPr>
      <t>i</t>
    </r>
    <r>
      <rPr>
        <b/>
        <sz val="10"/>
        <rFont val="Times New Roman"/>
        <family val="1"/>
      </rPr>
      <t xml:space="preserve"> = </t>
    </r>
    <r>
      <rPr>
        <b/>
        <sz val="10"/>
        <rFont val="Symbol"/>
        <family val="1"/>
        <charset val="2"/>
      </rPr>
      <t>r</t>
    </r>
    <r>
      <rPr>
        <b/>
        <vertAlign val="subscript"/>
        <sz val="10"/>
        <rFont val="Times New Roman"/>
        <family val="1"/>
      </rPr>
      <t>i,M</t>
    </r>
    <r>
      <rPr>
        <b/>
        <sz val="10"/>
        <rFont val="Times New Roman"/>
        <family val="1"/>
      </rPr>
      <t xml:space="preserve"> (</t>
    </r>
    <r>
      <rPr>
        <b/>
        <sz val="10"/>
        <rFont val="Symbol"/>
        <family val="1"/>
        <charset val="2"/>
      </rPr>
      <t>s</t>
    </r>
    <r>
      <rPr>
        <b/>
        <vertAlign val="subscript"/>
        <sz val="10"/>
        <rFont val="Times New Roman"/>
        <family val="1"/>
      </rPr>
      <t>i</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</si>
  <si>
    <t>Method 2:</t>
  </si>
  <si>
    <r>
      <t>b</t>
    </r>
    <r>
      <rPr>
        <b/>
        <vertAlign val="subscript"/>
        <sz val="10"/>
        <rFont val="Times New Roman"/>
        <family val="1"/>
      </rPr>
      <t>i</t>
    </r>
    <r>
      <rPr>
        <b/>
        <sz val="10"/>
        <rFont val="Times New Roman"/>
        <family val="1"/>
      </rPr>
      <t xml:space="preserve"> = COV</t>
    </r>
    <r>
      <rPr>
        <b/>
        <vertAlign val="subscript"/>
        <sz val="10"/>
        <rFont val="Times New Roman"/>
        <family val="1"/>
      </rPr>
      <t>i,M</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r>
      <rPr>
        <b/>
        <vertAlign val="superscript"/>
        <sz val="10"/>
        <rFont val="Times New Roman"/>
        <family val="1"/>
      </rPr>
      <t>2</t>
    </r>
  </si>
  <si>
    <t>Method 3:</t>
  </si>
  <si>
    <t>Slope of regression
Beta =</t>
  </si>
  <si>
    <t>We use Excel's SLOPE function: =SLOPE(C310:C312,$B$310:$B$312)</t>
  </si>
  <si>
    <r>
      <t xml:space="preserve">CALCULATING BETA COEFFICIENTS  </t>
    </r>
    <r>
      <rPr>
        <b/>
        <sz val="9"/>
        <color theme="0"/>
        <rFont val="Times New Roman"/>
        <family val="1"/>
      </rPr>
      <t>(Section 6.4)</t>
    </r>
  </si>
  <si>
    <t xml:space="preserve">Now we show how to calculate beta for an actual company, General Electric.  </t>
  </si>
  <si>
    <t>Step 1.  Retrive Data</t>
  </si>
  <si>
    <r>
      <t xml:space="preserve">We downloaded stock prices and dividends from http://finance.yahoo.com for General Electric, using its ticker symbol GE, and for the S&amp;P 500 Index ( symbol ^SPX), which contains 500 actively traded large stocks.  For example, to download the GE data, enter its ticker symbol in the upper left section and click Go.  Then select Historical Prices from the upper left side of the new page.  After the daily prices come up, click monthly prices, enter a start and stop date, and click "Get Prices."  When presenting monthly data, </t>
    </r>
    <r>
      <rPr>
        <b/>
        <i/>
        <sz val="10"/>
        <color indexed="18"/>
        <rFont val="Times New Roman"/>
        <family val="1"/>
      </rPr>
      <t>the date shown is for the first date in the month, but the data are actually for the last day of trading in the month</t>
    </r>
    <r>
      <rPr>
        <b/>
        <sz val="10"/>
        <color indexed="18"/>
        <rFont val="Times New Roman"/>
        <family val="1"/>
      </rPr>
      <t xml:space="preserve">, so be alert for this. Note that these prices are "adjusted" to reflect any dividends or stock splits.  Scroll to the bottom of the page and click "Download to Spreadsheet."  </t>
    </r>
  </si>
  <si>
    <t xml:space="preserve">   The downloaded data are in csv format.  Convert to xls by opening a new Excel worksheet, copying the date and adjusted index price data to it, and saving as an xls file.  Then repeat the process to get the S&amp;P index data.  At this point you have returns data for GE and the S&amp;P Index, as we show below.</t>
  </si>
  <si>
    <t>Step 2. Calculate Returns</t>
  </si>
  <si>
    <t>Next, calculate the percentage change in adjusted prices (which already reflect dividends)  for GE and the S&amp;P to obtain returns, with the spreadsheet set up as shown below.  At this point, we are ready to calculate some statistics and to find GE's beta coefficient. This is shown below the data.</t>
  </si>
  <si>
    <t>Figure 6-14. Stock Return Data for GE and the S&amp;P 500 Index</t>
  </si>
  <si>
    <t>Month</t>
  </si>
  <si>
    <t>Market Level
(S&amp;P 500 Index) at Month End</t>
  </si>
  <si>
    <t>Market's
Return</t>
  </si>
  <si>
    <t>GE Adjusted Stock Price at Month End</t>
  </si>
  <si>
    <t>GE's
Return</t>
  </si>
  <si>
    <t>Ribbon</t>
  </si>
  <si>
    <t>Data&gt;Data Analysis&gt;Regression</t>
  </si>
  <si>
    <t>Description of Data</t>
  </si>
  <si>
    <t>Average return (annual):</t>
  </si>
  <si>
    <t>SUMMARY OUTPUT</t>
  </si>
  <si>
    <t>Standard deviation (annual):</t>
  </si>
  <si>
    <t>Minimum monthly return:</t>
  </si>
  <si>
    <t>Regression Statistics</t>
  </si>
  <si>
    <t>Maximum monthly return:</t>
  </si>
  <si>
    <t>Multiple R</t>
  </si>
  <si>
    <t>Correlation between GE and the market:</t>
  </si>
  <si>
    <t>R Square</t>
  </si>
  <si>
    <r>
      <t>Beta: b</t>
    </r>
    <r>
      <rPr>
        <b/>
        <vertAlign val="subscript"/>
        <sz val="10"/>
        <rFont val="Times New Roman"/>
        <family val="1"/>
      </rPr>
      <t>GE</t>
    </r>
    <r>
      <rPr>
        <b/>
        <sz val="10"/>
        <rFont val="Times New Roman"/>
        <family val="1"/>
      </rPr>
      <t xml:space="preserve"> = </t>
    </r>
    <r>
      <rPr>
        <b/>
        <sz val="10"/>
        <rFont val="Symbol"/>
        <family val="1"/>
        <charset val="2"/>
      </rPr>
      <t>r</t>
    </r>
    <r>
      <rPr>
        <b/>
        <vertAlign val="subscript"/>
        <sz val="10"/>
        <rFont val="Times New Roman"/>
        <family val="1"/>
      </rPr>
      <t>GE,M</t>
    </r>
    <r>
      <rPr>
        <b/>
        <sz val="10"/>
        <rFont val="Times New Roman"/>
        <family val="1"/>
      </rPr>
      <t xml:space="preserve"> (</t>
    </r>
    <r>
      <rPr>
        <b/>
        <sz val="10"/>
        <rFont val="Symbol"/>
        <family val="1"/>
        <charset val="2"/>
      </rPr>
      <t>s</t>
    </r>
    <r>
      <rPr>
        <b/>
        <vertAlign val="subscript"/>
        <sz val="10"/>
        <rFont val="Times New Roman"/>
        <family val="1"/>
      </rPr>
      <t>GE</t>
    </r>
    <r>
      <rPr>
        <b/>
        <sz val="10"/>
        <rFont val="Times New Roman"/>
        <family val="1"/>
      </rPr>
      <t xml:space="preserve"> / </t>
    </r>
    <r>
      <rPr>
        <b/>
        <sz val="10"/>
        <rFont val="Symbol"/>
        <family val="1"/>
        <charset val="2"/>
      </rPr>
      <t>s</t>
    </r>
    <r>
      <rPr>
        <b/>
        <vertAlign val="subscript"/>
        <sz val="10"/>
        <rFont val="Times New Roman"/>
        <family val="1"/>
      </rPr>
      <t>M</t>
    </r>
    <r>
      <rPr>
        <b/>
        <sz val="10"/>
        <rFont val="Times New Roman"/>
        <family val="1"/>
      </rPr>
      <t>)</t>
    </r>
  </si>
  <si>
    <t>Adjusted R Square</t>
  </si>
  <si>
    <t>Standard Error</t>
  </si>
  <si>
    <t>Beta (using the SLOPE function):</t>
  </si>
  <si>
    <t>Observations</t>
  </si>
  <si>
    <t>Intercept (using the INTERCEPT function):</t>
  </si>
  <si>
    <r>
      <t>R</t>
    </r>
    <r>
      <rPr>
        <b/>
        <vertAlign val="superscript"/>
        <sz val="10"/>
        <rFont val="Times New Roman"/>
        <family val="1"/>
      </rPr>
      <t>2</t>
    </r>
    <r>
      <rPr>
        <b/>
        <sz val="10"/>
        <rFont val="Times New Roman"/>
        <family val="1"/>
      </rPr>
      <t xml:space="preserve"> (using the RSQ function):</t>
    </r>
  </si>
  <si>
    <t>ANOVA</t>
  </si>
  <si>
    <t>df</t>
  </si>
  <si>
    <t>SS</t>
  </si>
  <si>
    <t>MS</t>
  </si>
  <si>
    <t>Significance F</t>
  </si>
  <si>
    <t>Regression</t>
  </si>
  <si>
    <t>Residual</t>
  </si>
  <si>
    <t>Total</t>
  </si>
  <si>
    <t>Coefficients</t>
  </si>
  <si>
    <t>t Stat</t>
  </si>
  <si>
    <t>P-value</t>
  </si>
  <si>
    <t>Lower 95%</t>
  </si>
  <si>
    <t>Upper 95%</t>
  </si>
  <si>
    <t>Lower 95.0%</t>
  </si>
  <si>
    <t>Upper 95.0%</t>
  </si>
  <si>
    <t>Intercept</t>
  </si>
  <si>
    <t>X Variable 1</t>
  </si>
  <si>
    <t>Rf</t>
  </si>
  <si>
    <t>Ri-Rf</t>
  </si>
  <si>
    <t>Zi</t>
  </si>
  <si>
    <t>Sum Zi</t>
  </si>
  <si>
    <t>Xi</t>
  </si>
  <si>
    <t>R2, Page 100-103</t>
  </si>
  <si>
    <t>Port M</t>
  </si>
  <si>
    <t>Slope</t>
  </si>
  <si>
    <t>For Graphs Only</t>
  </si>
  <si>
    <t>X</t>
  </si>
  <si>
    <t>Y</t>
  </si>
  <si>
    <t>St.Dev</t>
  </si>
  <si>
    <t>Return</t>
  </si>
  <si>
    <t>Xb</t>
  </si>
  <si>
    <t>Stocks and Bond(CML)</t>
  </si>
  <si>
    <t>Xs</t>
  </si>
</sst>
</file>

<file path=xl/styles.xml><?xml version="1.0" encoding="utf-8"?>
<styleSheet xmlns="http://schemas.openxmlformats.org/spreadsheetml/2006/main">
  <numFmts count="19">
    <numFmt numFmtId="164" formatCode="_(* #,##0.00_);_(* \(#,##0.00\);_(* &quot;-&quot;??_);_(@_)"/>
    <numFmt numFmtId="165" formatCode="_(* #,##0_);_(* \(#,##0\);_(* &quot;-&quot;??_);_(@_)"/>
    <numFmt numFmtId="166" formatCode="0.0000%"/>
    <numFmt numFmtId="167" formatCode="[$-409]mmmm\ d\,\ yyyy;@"/>
    <numFmt numFmtId="168" formatCode="0.0%"/>
    <numFmt numFmtId="169" formatCode="0.000%"/>
    <numFmt numFmtId="170" formatCode="0.00000"/>
    <numFmt numFmtId="171" formatCode="0.0000"/>
    <numFmt numFmtId="172" formatCode="0.000"/>
    <numFmt numFmtId="173" formatCode="0.000000"/>
    <numFmt numFmtId="174" formatCode="0.0%____;\−0.0%____"/>
    <numFmt numFmtId="175" formatCode="&quot;$&quot;#,##0_);[Red]\(&quot;$&quot;#,##0\)"/>
    <numFmt numFmtId="176" formatCode="0.0"/>
    <numFmt numFmtId="177" formatCode="_(* #,##0.0_);_(* \(#,##0.0\);_(* &quot;-&quot;??_);_(@_)"/>
    <numFmt numFmtId="178" formatCode="_(* #,##0.000_);_(* \(#,##0.000\);_(* &quot;-&quot;??_);_(@_)"/>
    <numFmt numFmtId="179" formatCode="[$-409]mmmm\ yyyy;@"/>
    <numFmt numFmtId="180" formatCode="&quot;$&quot;#,##0.00"/>
    <numFmt numFmtId="181" formatCode="0.00\ \ \ "/>
    <numFmt numFmtId="182" formatCode="0.000\ \ \ "/>
  </numFmts>
  <fonts count="80">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sz val="11"/>
      <color theme="0"/>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i/>
      <sz val="10"/>
      <name val="Arial"/>
      <family val="2"/>
    </font>
    <font>
      <b/>
      <sz val="11"/>
      <color theme="0"/>
      <name val="Calibri"/>
      <family val="2"/>
      <scheme val="minor"/>
    </font>
    <font>
      <sz val="9"/>
      <color indexed="81"/>
      <name val="Tahoma"/>
      <family val="2"/>
    </font>
    <font>
      <b/>
      <sz val="9"/>
      <color indexed="81"/>
      <name val="Tahoma"/>
      <family val="2"/>
    </font>
    <font>
      <b/>
      <sz val="11"/>
      <color theme="1"/>
      <name val="Symbol"/>
      <family val="1"/>
      <charset val="2"/>
    </font>
    <font>
      <b/>
      <vertAlign val="superscript"/>
      <sz val="11"/>
      <color theme="1"/>
      <name val="Calibri"/>
      <family val="2"/>
      <scheme val="minor"/>
    </font>
    <font>
      <sz val="11"/>
      <color theme="1"/>
      <name val="Symbol"/>
      <family val="1"/>
      <charset val="2"/>
    </font>
    <font>
      <sz val="11"/>
      <color theme="0"/>
      <name val="Symbol"/>
      <family val="1"/>
      <charset val="2"/>
    </font>
    <font>
      <b/>
      <sz val="11"/>
      <color rgb="FFC00000"/>
      <name val="Calibri"/>
      <family val="2"/>
      <scheme val="minor"/>
    </font>
    <font>
      <b/>
      <sz val="11"/>
      <color rgb="FF7030A0"/>
      <name val="Calibri"/>
      <family val="2"/>
      <scheme val="minor"/>
    </font>
    <font>
      <vertAlign val="subscript"/>
      <sz val="11"/>
      <color theme="0"/>
      <name val="Calibri"/>
      <family val="2"/>
      <scheme val="minor"/>
    </font>
    <font>
      <vertAlign val="subscript"/>
      <sz val="11"/>
      <color theme="0"/>
      <name val="Symbol"/>
      <family val="1"/>
      <charset val="2"/>
    </font>
    <font>
      <i/>
      <sz val="11"/>
      <color theme="1"/>
      <name val="Calibri"/>
      <family val="2"/>
      <scheme val="minor"/>
    </font>
    <font>
      <b/>
      <vertAlign val="superscript"/>
      <sz val="11"/>
      <color theme="1"/>
      <name val="Symbol"/>
      <family val="1"/>
      <charset val="2"/>
    </font>
    <font>
      <b/>
      <vertAlign val="subscript"/>
      <sz val="11"/>
      <color theme="1"/>
      <name val="Calibri"/>
      <family val="2"/>
      <scheme val="minor"/>
    </font>
    <font>
      <b/>
      <sz val="12"/>
      <color indexed="16"/>
      <name val="Times New Roman"/>
      <family val="1"/>
    </font>
    <font>
      <b/>
      <sz val="10"/>
      <name val="Times New Roman"/>
      <family val="1"/>
    </font>
    <font>
      <b/>
      <sz val="10"/>
      <color indexed="18"/>
      <name val="Times New Roman"/>
      <family val="1"/>
    </font>
    <font>
      <b/>
      <sz val="12"/>
      <color indexed="18"/>
      <name val="Times New Roman"/>
      <family val="1"/>
    </font>
    <font>
      <b/>
      <u/>
      <sz val="12"/>
      <color indexed="18"/>
      <name val="Times New Roman"/>
      <family val="1"/>
    </font>
    <font>
      <b/>
      <sz val="10"/>
      <color indexed="12"/>
      <name val="Times New Roman"/>
      <family val="1"/>
    </font>
    <font>
      <b/>
      <sz val="10"/>
      <color indexed="10"/>
      <name val="Times New Roman"/>
      <family val="1"/>
    </font>
    <font>
      <sz val="10"/>
      <name val="Times New Roman"/>
      <family val="1"/>
    </font>
    <font>
      <b/>
      <sz val="9"/>
      <color indexed="17"/>
      <name val="Times New Roman"/>
      <family val="1"/>
    </font>
    <font>
      <b/>
      <sz val="10"/>
      <color indexed="17"/>
      <name val="Times New Roman"/>
      <family val="1"/>
    </font>
    <font>
      <b/>
      <u val="double"/>
      <sz val="10"/>
      <color indexed="12"/>
      <name val="Times New Roman"/>
      <family val="1"/>
    </font>
    <font>
      <b/>
      <u val="double"/>
      <sz val="10"/>
      <color indexed="10"/>
      <name val="Times New Roman"/>
      <family val="1"/>
    </font>
    <font>
      <b/>
      <u val="double"/>
      <sz val="10"/>
      <color indexed="17"/>
      <name val="Times New Roman"/>
      <family val="1"/>
    </font>
    <font>
      <b/>
      <sz val="10"/>
      <color indexed="20"/>
      <name val="Times New Roman"/>
      <family val="1"/>
    </font>
    <font>
      <b/>
      <u val="double"/>
      <sz val="10"/>
      <color indexed="20"/>
      <name val="Times New Roman"/>
      <family val="1"/>
    </font>
    <font>
      <b/>
      <sz val="18"/>
      <color theme="0"/>
      <name val="Times New Roman"/>
      <family val="1"/>
    </font>
    <font>
      <b/>
      <sz val="10"/>
      <color theme="0"/>
      <name val="Times New Roman"/>
      <family val="1"/>
    </font>
    <font>
      <b/>
      <sz val="10"/>
      <color indexed="16"/>
      <name val="Arial"/>
      <family val="2"/>
    </font>
    <font>
      <b/>
      <i/>
      <sz val="10"/>
      <name val="Times New Roman"/>
      <family val="1"/>
    </font>
    <font>
      <i/>
      <sz val="10"/>
      <name val="Arial"/>
      <family val="2"/>
    </font>
    <font>
      <b/>
      <sz val="8"/>
      <name val="Times New Roman"/>
      <family val="1"/>
    </font>
    <font>
      <b/>
      <sz val="12"/>
      <color theme="0"/>
      <name val="Times New Roman"/>
      <family val="1"/>
    </font>
    <font>
      <b/>
      <sz val="9"/>
      <color theme="0"/>
      <name val="Times New Roman"/>
      <family val="1"/>
    </font>
    <font>
      <b/>
      <sz val="10"/>
      <color indexed="16"/>
      <name val="Times New Roman"/>
      <family val="1"/>
    </font>
    <font>
      <b/>
      <u val="singleAccounting"/>
      <sz val="10"/>
      <name val="Times New Roman"/>
      <family val="1"/>
    </font>
    <font>
      <b/>
      <u/>
      <sz val="10"/>
      <color indexed="12"/>
      <name val="Times New Roman"/>
      <family val="1"/>
    </font>
    <font>
      <b/>
      <u val="singleAccounting"/>
      <sz val="10"/>
      <color indexed="20"/>
      <name val="Times New Roman"/>
      <family val="1"/>
    </font>
    <font>
      <b/>
      <u val="doubleAccounting"/>
      <sz val="10"/>
      <color indexed="20"/>
      <name val="Times New Roman"/>
      <family val="1"/>
    </font>
    <font>
      <b/>
      <sz val="11"/>
      <color rgb="FF00B050"/>
      <name val="Calibri"/>
      <family val="2"/>
      <scheme val="minor"/>
    </font>
    <font>
      <sz val="11"/>
      <color rgb="FF00B050"/>
      <name val="Wingdings"/>
      <charset val="2"/>
    </font>
    <font>
      <sz val="11"/>
      <color rgb="FFFF0000"/>
      <name val="Wingdings"/>
      <charset val="2"/>
    </font>
    <font>
      <b/>
      <sz val="16"/>
      <color theme="1"/>
      <name val="Calibri"/>
      <family val="2"/>
      <scheme val="minor"/>
    </font>
    <font>
      <b/>
      <sz val="16"/>
      <color theme="1"/>
      <name val="Symbol"/>
      <family val="1"/>
      <charset val="2"/>
    </font>
    <font>
      <sz val="11"/>
      <name val="Calibri"/>
      <family val="2"/>
      <scheme val="minor"/>
    </font>
    <font>
      <sz val="8"/>
      <name val="Arial"/>
      <family val="2"/>
    </font>
    <font>
      <sz val="11"/>
      <color rgb="FFFF0000"/>
      <name val="Calibri"/>
      <family val="2"/>
      <scheme val="minor"/>
    </font>
    <font>
      <u/>
      <sz val="9.35"/>
      <color theme="10"/>
      <name val="Calibri"/>
      <family val="2"/>
    </font>
    <font>
      <b/>
      <sz val="18"/>
      <color theme="0"/>
      <name val="Calibri"/>
      <family val="2"/>
      <scheme val="minor"/>
    </font>
    <font>
      <sz val="18"/>
      <color theme="0"/>
      <name val="Calibri"/>
      <family val="2"/>
      <scheme val="minor"/>
    </font>
    <font>
      <b/>
      <sz val="12"/>
      <color indexed="48"/>
      <name val="Times New Roman"/>
      <family val="1"/>
    </font>
    <font>
      <b/>
      <sz val="10"/>
      <color indexed="48"/>
      <name val="Times New Roman"/>
      <family val="1"/>
    </font>
    <font>
      <b/>
      <sz val="10"/>
      <color indexed="14"/>
      <name val="Times New Roman"/>
      <family val="1"/>
    </font>
    <font>
      <b/>
      <sz val="10"/>
      <name val="Symbol"/>
      <family val="1"/>
      <charset val="2"/>
    </font>
    <font>
      <b/>
      <vertAlign val="subscript"/>
      <sz val="10"/>
      <name val="Times New Roman"/>
      <family val="1"/>
    </font>
    <font>
      <b/>
      <sz val="10"/>
      <color rgb="FFFF0000"/>
      <name val="Times New Roman"/>
      <family val="1"/>
    </font>
    <font>
      <b/>
      <sz val="9"/>
      <color indexed="18"/>
      <name val="Times New Roman"/>
      <family val="1"/>
    </font>
    <font>
      <b/>
      <vertAlign val="superscript"/>
      <sz val="10"/>
      <name val="Times New Roman"/>
      <family val="1"/>
    </font>
    <font>
      <b/>
      <i/>
      <sz val="10"/>
      <color indexed="18"/>
      <name val="Times New Roman"/>
      <family val="1"/>
    </font>
    <font>
      <b/>
      <sz val="11"/>
      <color indexed="16"/>
      <name val="Times New Roman"/>
      <family val="1"/>
    </font>
    <font>
      <b/>
      <sz val="11"/>
      <color indexed="10"/>
      <name val="Times New Roman"/>
      <family val="1"/>
    </font>
    <font>
      <b/>
      <sz val="11"/>
      <name val="Times New Roman"/>
      <family val="1"/>
    </font>
    <font>
      <sz val="7.9"/>
      <name val="Arial"/>
      <family val="2"/>
    </font>
    <font>
      <b/>
      <u/>
      <sz val="10"/>
      <name val="Times New Roman"/>
      <family val="1"/>
    </font>
    <font>
      <b/>
      <sz val="10"/>
      <color indexed="81"/>
      <name val="Tahoma"/>
      <family val="2"/>
    </font>
    <font>
      <b/>
      <sz val="8"/>
      <color indexed="81"/>
      <name val="Tahoma"/>
      <family val="2"/>
    </font>
    <font>
      <b/>
      <sz val="11"/>
      <color theme="9" tint="0.79998168889431442"/>
      <name val="Calibri"/>
      <family val="2"/>
      <scheme val="minor"/>
    </font>
  </fonts>
  <fills count="38">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7"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CC"/>
        <bgColor indexed="64"/>
      </patternFill>
    </fill>
    <fill>
      <patternFill patternType="solid">
        <fgColor indexed="47"/>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rgb="FFFFFFCC"/>
      </patternFill>
    </fill>
    <fill>
      <patternFill patternType="solid">
        <fgColor indexed="44"/>
        <bgColor indexed="64"/>
      </patternFill>
    </fill>
    <fill>
      <patternFill patternType="solid">
        <fgColor indexed="27"/>
        <bgColor indexed="64"/>
      </patternFill>
    </fill>
    <fill>
      <patternFill patternType="solid">
        <fgColor indexed="41"/>
        <bgColor indexed="64"/>
      </patternFill>
    </fill>
    <fill>
      <patternFill patternType="solid">
        <fgColor rgb="FF00B050"/>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1" tint="0.249977111117893"/>
        <bgColor indexed="64"/>
      </patternFill>
    </fill>
    <fill>
      <patternFill patternType="solid">
        <fgColor rgb="FFFFC000"/>
        <bgColor indexed="64"/>
      </patternFill>
    </fill>
    <fill>
      <patternFill patternType="solid">
        <fgColor rgb="FFFF0000"/>
        <bgColor indexed="64"/>
      </patternFill>
    </fill>
    <fill>
      <patternFill patternType="solid">
        <fgColor theme="0" tint="-4.9989318521683403E-2"/>
        <bgColor indexed="64"/>
      </patternFill>
    </fill>
  </fills>
  <borders count="48">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style="double">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2"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58" fillId="0" borderId="0" applyFont="0" applyFill="0" applyBorder="0" applyAlignment="0" applyProtection="0"/>
    <xf numFmtId="9" fontId="2" fillId="0" borderId="0" applyFont="0" applyFill="0" applyBorder="0" applyAlignment="0" applyProtection="0"/>
    <xf numFmtId="9" fontId="58" fillId="0" borderId="0" applyFont="0" applyFill="0" applyBorder="0" applyAlignment="0" applyProtection="0"/>
    <xf numFmtId="9" fontId="1" fillId="0" borderId="0" applyFont="0" applyFill="0" applyBorder="0" applyAlignment="0" applyProtection="0"/>
    <xf numFmtId="0" fontId="60" fillId="0" borderId="0" applyNumberFormat="0" applyFill="0" applyBorder="0" applyAlignment="0" applyProtection="0">
      <alignment vertical="top"/>
      <protection locked="0"/>
    </xf>
  </cellStyleXfs>
  <cellXfs count="646">
    <xf numFmtId="0" fontId="0" fillId="0" borderId="0" xfId="0"/>
    <xf numFmtId="0" fontId="3" fillId="2" borderId="0" xfId="2" applyFont="1" applyFill="1"/>
    <xf numFmtId="166" fontId="3" fillId="3" borderId="0" xfId="4" applyNumberFormat="1" applyFont="1" applyFill="1"/>
    <xf numFmtId="167" fontId="4" fillId="4" borderId="0" xfId="2" applyNumberFormat="1" applyFont="1" applyFill="1" applyAlignment="1">
      <alignment horizontal="center"/>
    </xf>
    <xf numFmtId="164" fontId="2" fillId="0" borderId="0" xfId="3" applyFont="1" applyFill="1"/>
    <xf numFmtId="0" fontId="3" fillId="6" borderId="0" xfId="2" applyFont="1" applyFill="1"/>
    <xf numFmtId="166" fontId="3" fillId="6" borderId="0" xfId="4" applyNumberFormat="1" applyFont="1" applyFill="1"/>
    <xf numFmtId="0" fontId="0" fillId="0" borderId="0" xfId="0" applyAlignment="1">
      <alignment horizontal="center" vertical="center"/>
    </xf>
    <xf numFmtId="0" fontId="5" fillId="9" borderId="0" xfId="0" applyFont="1" applyFill="1" applyAlignment="1">
      <alignment horizontal="center" vertical="center"/>
    </xf>
    <xf numFmtId="0" fontId="5" fillId="9" borderId="0" xfId="0" applyFont="1" applyFill="1"/>
    <xf numFmtId="0" fontId="0" fillId="0" borderId="1" xfId="0" applyBorder="1"/>
    <xf numFmtId="0" fontId="0" fillId="0" borderId="2" xfId="0" applyBorder="1"/>
    <xf numFmtId="0" fontId="0" fillId="0" borderId="0" xfId="0" applyBorder="1"/>
    <xf numFmtId="0" fontId="0" fillId="0" borderId="3" xfId="0" applyBorder="1"/>
    <xf numFmtId="2" fontId="0" fillId="0" borderId="0" xfId="0" applyNumberFormat="1"/>
    <xf numFmtId="0" fontId="0" fillId="0" borderId="4" xfId="0" applyBorder="1"/>
    <xf numFmtId="0" fontId="0" fillId="0" borderId="0" xfId="0" quotePrefix="1"/>
    <xf numFmtId="0" fontId="6" fillId="0" borderId="0" xfId="0" applyFont="1"/>
    <xf numFmtId="166" fontId="6" fillId="10" borderId="0" xfId="0" applyNumberFormat="1" applyFont="1" applyFill="1" applyAlignment="1">
      <alignment horizontal="center" vertical="center"/>
    </xf>
    <xf numFmtId="0" fontId="6" fillId="8" borderId="6" xfId="0" applyFont="1" applyFill="1" applyBorder="1" applyAlignment="1">
      <alignment horizontal="center" vertical="center"/>
    </xf>
    <xf numFmtId="0" fontId="0" fillId="7" borderId="6" xfId="0" applyFill="1" applyBorder="1" applyAlignment="1">
      <alignment horizontal="center" vertical="center"/>
    </xf>
    <xf numFmtId="0" fontId="8" fillId="0" borderId="0" xfId="0" applyFont="1" applyAlignment="1">
      <alignment horizontal="center" vertical="center"/>
    </xf>
    <xf numFmtId="165" fontId="9" fillId="2" borderId="0" xfId="3" applyNumberFormat="1" applyFont="1" applyFill="1"/>
    <xf numFmtId="165" fontId="9" fillId="2" borderId="0" xfId="2" applyNumberFormat="1" applyFont="1" applyFill="1"/>
    <xf numFmtId="10" fontId="0" fillId="0" borderId="0" xfId="1" applyNumberFormat="1" applyFont="1" applyBorder="1"/>
    <xf numFmtId="10" fontId="0" fillId="0" borderId="3" xfId="1" applyNumberFormat="1" applyFont="1" applyBorder="1"/>
    <xf numFmtId="0" fontId="10" fillId="9" borderId="6" xfId="0" applyFont="1" applyFill="1" applyBorder="1" applyAlignment="1">
      <alignment horizontal="center" vertical="center"/>
    </xf>
    <xf numFmtId="10" fontId="0" fillId="0" borderId="0" xfId="1" applyNumberFormat="1" applyFont="1"/>
    <xf numFmtId="169" fontId="0" fillId="0" borderId="0" xfId="1" applyNumberFormat="1" applyFont="1"/>
    <xf numFmtId="0" fontId="0" fillId="5" borderId="4" xfId="0" applyFill="1" applyBorder="1" applyAlignment="1">
      <alignment horizontal="center" vertical="center"/>
    </xf>
    <xf numFmtId="10" fontId="0" fillId="0" borderId="0" xfId="0" applyNumberFormat="1"/>
    <xf numFmtId="0" fontId="0" fillId="0" borderId="7" xfId="0" applyBorder="1"/>
    <xf numFmtId="2" fontId="6" fillId="0" borderId="7" xfId="0" applyNumberFormat="1" applyFont="1" applyBorder="1" applyAlignment="1">
      <alignment horizontal="right"/>
    </xf>
    <xf numFmtId="10" fontId="0" fillId="7" borderId="7" xfId="1" applyNumberFormat="1" applyFont="1" applyFill="1" applyBorder="1"/>
    <xf numFmtId="2" fontId="0" fillId="0" borderId="0" xfId="0" applyNumberFormat="1" applyBorder="1" applyAlignment="1">
      <alignment horizontal="center" vertical="center"/>
    </xf>
    <xf numFmtId="2" fontId="0" fillId="0" borderId="3" xfId="0" applyNumberFormat="1" applyBorder="1" applyAlignment="1">
      <alignment horizontal="center" vertical="center"/>
    </xf>
    <xf numFmtId="0" fontId="6" fillId="0" borderId="1" xfId="0" applyFont="1" applyBorder="1" applyAlignment="1">
      <alignment horizontal="right"/>
    </xf>
    <xf numFmtId="2" fontId="6" fillId="0" borderId="0" xfId="0" applyNumberFormat="1" applyFont="1" applyBorder="1" applyAlignment="1">
      <alignment horizontal="right"/>
    </xf>
    <xf numFmtId="10" fontId="0" fillId="0" borderId="0" xfId="1" applyNumberFormat="1" applyFont="1" applyFill="1" applyBorder="1"/>
    <xf numFmtId="0" fontId="8" fillId="0" borderId="0" xfId="0" applyFont="1" applyAlignment="1">
      <alignment horizontal="right"/>
    </xf>
    <xf numFmtId="10" fontId="0" fillId="7" borderId="8" xfId="1" applyNumberFormat="1" applyFont="1" applyFill="1" applyBorder="1"/>
    <xf numFmtId="10" fontId="0" fillId="7" borderId="1" xfId="1" applyNumberFormat="1" applyFont="1" applyFill="1" applyBorder="1"/>
    <xf numFmtId="10" fontId="0" fillId="11" borderId="0" xfId="1" applyNumberFormat="1" applyFont="1" applyFill="1" applyBorder="1"/>
    <xf numFmtId="0" fontId="8" fillId="0" borderId="0" xfId="0" applyFont="1" applyAlignment="1">
      <alignment horizontal="right"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10" fontId="0" fillId="0" borderId="2" xfId="1" applyNumberFormat="1" applyFont="1" applyBorder="1"/>
    <xf numFmtId="168" fontId="0" fillId="7" borderId="0" xfId="1" applyNumberFormat="1" applyFont="1" applyFill="1" applyBorder="1" applyAlignment="1">
      <alignment horizontal="center" vertical="center"/>
    </xf>
    <xf numFmtId="10" fontId="0" fillId="7" borderId="0" xfId="0" applyNumberFormat="1" applyFill="1" applyBorder="1" applyAlignment="1">
      <alignment horizontal="center"/>
    </xf>
    <xf numFmtId="10" fontId="0" fillId="0" borderId="0" xfId="1" applyNumberFormat="1" applyFont="1" applyBorder="1" applyAlignment="1">
      <alignment horizontal="center"/>
    </xf>
    <xf numFmtId="10" fontId="0" fillId="7" borderId="3" xfId="0" applyNumberFormat="1" applyFill="1" applyBorder="1" applyAlignment="1">
      <alignment horizontal="center"/>
    </xf>
    <xf numFmtId="10" fontId="0" fillId="0" borderId="3" xfId="1" applyNumberFormat="1" applyFont="1" applyBorder="1" applyAlignment="1">
      <alignment horizontal="center"/>
    </xf>
    <xf numFmtId="0" fontId="0" fillId="0" borderId="9" xfId="0" applyBorder="1"/>
    <xf numFmtId="10" fontId="0" fillId="7" borderId="9" xfId="1" applyNumberFormat="1" applyFont="1" applyFill="1" applyBorder="1" applyAlignment="1">
      <alignment horizontal="center" vertical="center"/>
    </xf>
    <xf numFmtId="10" fontId="0" fillId="0" borderId="0" xfId="1" applyNumberFormat="1" applyFont="1" applyAlignment="1">
      <alignment horizontal="center" vertical="center"/>
    </xf>
    <xf numFmtId="0" fontId="0" fillId="0" borderId="0" xfId="0" applyNumberFormat="1" applyAlignment="1">
      <alignment horizontal="center" vertical="center"/>
    </xf>
    <xf numFmtId="10" fontId="5" fillId="9" borderId="0" xfId="0" applyNumberFormat="1" applyFont="1" applyFill="1" applyAlignment="1">
      <alignment horizontal="center" vertical="center"/>
    </xf>
    <xf numFmtId="0" fontId="5" fillId="9" borderId="0" xfId="0" applyFont="1" applyFill="1" applyAlignment="1">
      <alignment horizontal="center"/>
    </xf>
    <xf numFmtId="0" fontId="16" fillId="9" borderId="5" xfId="0" applyFont="1" applyFill="1" applyBorder="1" applyAlignment="1">
      <alignment horizontal="center" vertical="center"/>
    </xf>
    <xf numFmtId="0" fontId="0" fillId="7" borderId="5" xfId="0" applyNumberFormat="1" applyFill="1" applyBorder="1" applyAlignment="1">
      <alignment horizontal="center" vertical="center"/>
    </xf>
    <xf numFmtId="0" fontId="0" fillId="12" borderId="0" xfId="0" applyFill="1"/>
    <xf numFmtId="3" fontId="0" fillId="0" borderId="0" xfId="0" applyNumberFormat="1" applyAlignment="1">
      <alignment horizontal="center" vertical="center"/>
    </xf>
    <xf numFmtId="3" fontId="0" fillId="0" borderId="3" xfId="0" applyNumberFormat="1" applyBorder="1" applyAlignment="1">
      <alignment horizontal="center" vertical="center"/>
    </xf>
    <xf numFmtId="3" fontId="0" fillId="0" borderId="7" xfId="0" applyNumberFormat="1" applyBorder="1" applyAlignment="1">
      <alignment horizontal="center" vertical="center"/>
    </xf>
    <xf numFmtId="171" fontId="0" fillId="0" borderId="0" xfId="0" applyNumberFormat="1" applyAlignment="1">
      <alignment horizontal="center" vertical="center"/>
    </xf>
    <xf numFmtId="172" fontId="0" fillId="0" borderId="0" xfId="0" applyNumberFormat="1" applyAlignment="1">
      <alignment horizontal="center" vertical="center"/>
    </xf>
    <xf numFmtId="172" fontId="0" fillId="0" borderId="3" xfId="0" applyNumberFormat="1" applyBorder="1" applyAlignment="1">
      <alignment horizontal="center" vertical="center"/>
    </xf>
    <xf numFmtId="10" fontId="0" fillId="0" borderId="3" xfId="1" applyNumberFormat="1" applyFont="1" applyBorder="1" applyAlignment="1">
      <alignment horizontal="center" vertical="center"/>
    </xf>
    <xf numFmtId="172" fontId="0" fillId="0" borderId="0" xfId="1" applyNumberFormat="1" applyFont="1" applyBorder="1" applyAlignment="1">
      <alignment horizontal="center" vertical="center"/>
    </xf>
    <xf numFmtId="172" fontId="0" fillId="0" borderId="0" xfId="0" applyNumberFormat="1" applyBorder="1" applyAlignment="1">
      <alignment horizontal="center"/>
    </xf>
    <xf numFmtId="172" fontId="0" fillId="0" borderId="3" xfId="0" applyNumberFormat="1" applyBorder="1" applyAlignment="1">
      <alignment horizontal="center"/>
    </xf>
    <xf numFmtId="0" fontId="0" fillId="11" borderId="0" xfId="0" applyFill="1" applyBorder="1" applyAlignment="1">
      <alignment horizontal="center" vertical="center"/>
    </xf>
    <xf numFmtId="0" fontId="0" fillId="11" borderId="3" xfId="0" applyFill="1" applyBorder="1" applyAlignment="1">
      <alignment horizontal="center" vertical="center"/>
    </xf>
    <xf numFmtId="0" fontId="6" fillId="0" borderId="0" xfId="0" applyFont="1" applyAlignment="1">
      <alignment horizontal="right"/>
    </xf>
    <xf numFmtId="173" fontId="0" fillId="0" borderId="0" xfId="0" applyNumberFormat="1" applyAlignment="1">
      <alignment horizontal="center" vertical="center"/>
    </xf>
    <xf numFmtId="3" fontId="0" fillId="0" borderId="0" xfId="0" applyNumberFormat="1" applyBorder="1" applyAlignment="1">
      <alignment horizontal="center" vertical="center"/>
    </xf>
    <xf numFmtId="172" fontId="0" fillId="0" borderId="0" xfId="0" applyNumberFormat="1" applyBorder="1" applyAlignment="1">
      <alignment horizontal="center" vertical="center"/>
    </xf>
    <xf numFmtId="10" fontId="0" fillId="0" borderId="0" xfId="1" applyNumberFormat="1" applyFont="1" applyBorder="1" applyAlignment="1">
      <alignment horizontal="center" vertical="center"/>
    </xf>
    <xf numFmtId="0" fontId="8" fillId="0" borderId="0" xfId="0" applyFont="1"/>
    <xf numFmtId="10" fontId="0" fillId="4" borderId="0" xfId="1" applyNumberFormat="1" applyFont="1" applyFill="1"/>
    <xf numFmtId="0" fontId="8" fillId="4" borderId="0" xfId="0" applyFont="1" applyFill="1"/>
    <xf numFmtId="0" fontId="8" fillId="4" borderId="0" xfId="0" applyFont="1" applyFill="1" applyAlignment="1">
      <alignment horizontal="right"/>
    </xf>
    <xf numFmtId="0" fontId="0" fillId="0" borderId="0" xfId="0" applyFill="1" applyBorder="1" applyAlignment="1"/>
    <xf numFmtId="0" fontId="0" fillId="0" borderId="12" xfId="0" applyFill="1" applyBorder="1" applyAlignment="1"/>
    <xf numFmtId="0" fontId="21" fillId="0" borderId="13" xfId="0" applyFont="1" applyFill="1" applyBorder="1" applyAlignment="1">
      <alignment horizontal="center"/>
    </xf>
    <xf numFmtId="0" fontId="13" fillId="0" borderId="0" xfId="0" applyFont="1" applyAlignment="1">
      <alignment horizontal="right"/>
    </xf>
    <xf numFmtId="0" fontId="6" fillId="0" borderId="3" xfId="0" applyFont="1" applyBorder="1" applyAlignment="1">
      <alignment horizontal="center" vertical="center"/>
    </xf>
    <xf numFmtId="0" fontId="13" fillId="0" borderId="3" xfId="0" applyFont="1" applyFill="1" applyBorder="1" applyAlignment="1">
      <alignment horizontal="center" vertical="center"/>
    </xf>
    <xf numFmtId="0" fontId="23" fillId="0" borderId="3" xfId="0" applyFont="1" applyBorder="1" applyAlignment="1">
      <alignment horizontal="center" vertical="center"/>
    </xf>
    <xf numFmtId="0" fontId="6" fillId="0" borderId="3" xfId="0" applyFont="1" applyBorder="1"/>
    <xf numFmtId="171" fontId="0" fillId="0" borderId="14" xfId="0" applyNumberFormat="1" applyBorder="1" applyAlignment="1">
      <alignment horizontal="center" vertical="center"/>
    </xf>
    <xf numFmtId="171" fontId="0" fillId="0" borderId="15" xfId="0" applyNumberFormat="1" applyBorder="1" applyAlignment="1">
      <alignment horizontal="center" vertical="center"/>
    </xf>
    <xf numFmtId="171" fontId="0" fillId="0" borderId="16" xfId="0" applyNumberFormat="1" applyBorder="1" applyAlignment="1">
      <alignment horizontal="center" vertical="center"/>
    </xf>
    <xf numFmtId="171" fontId="0" fillId="0" borderId="17" xfId="0" applyNumberFormat="1" applyBorder="1" applyAlignment="1">
      <alignment horizontal="center" vertical="center"/>
    </xf>
    <xf numFmtId="0" fontId="13" fillId="0" borderId="0" xfId="0" applyFont="1" applyAlignment="1">
      <alignment horizontal="center" vertical="center"/>
    </xf>
    <xf numFmtId="0" fontId="8" fillId="4" borderId="0" xfId="0" applyFont="1" applyFill="1" applyAlignment="1">
      <alignment horizontal="right" vertical="center"/>
    </xf>
    <xf numFmtId="169" fontId="0" fillId="4" borderId="0" xfId="1" applyNumberFormat="1" applyFont="1" applyFill="1"/>
    <xf numFmtId="3" fontId="0" fillId="0" borderId="7" xfId="0" applyNumberFormat="1" applyBorder="1" applyAlignment="1">
      <alignment horizontal="center"/>
    </xf>
    <xf numFmtId="0" fontId="0" fillId="0" borderId="0" xfId="0" applyBorder="1" applyAlignment="1">
      <alignment horizontal="center" vertical="center"/>
    </xf>
    <xf numFmtId="10" fontId="0" fillId="0" borderId="0" xfId="1" applyNumberFormat="1" applyFont="1" applyBorder="1" applyAlignment="1">
      <alignment horizontal="right" vertical="center"/>
    </xf>
    <xf numFmtId="0" fontId="0" fillId="9" borderId="0" xfId="0" applyFill="1"/>
    <xf numFmtId="0" fontId="0" fillId="15" borderId="0" xfId="0" applyFill="1"/>
    <xf numFmtId="171" fontId="0" fillId="0" borderId="0" xfId="0" applyNumberFormat="1" applyBorder="1" applyAlignment="1">
      <alignment horizontal="center" vertical="center"/>
    </xf>
    <xf numFmtId="171" fontId="0" fillId="0" borderId="11" xfId="0" applyNumberFormat="1" applyBorder="1" applyAlignment="1">
      <alignment horizontal="center" vertical="center"/>
    </xf>
    <xf numFmtId="171" fontId="0" fillId="0" borderId="10" xfId="0" applyNumberFormat="1" applyBorder="1" applyAlignment="1">
      <alignment horizontal="center" vertical="center"/>
    </xf>
    <xf numFmtId="171" fontId="0" fillId="0" borderId="18" xfId="0" applyNumberFormat="1" applyBorder="1" applyAlignment="1">
      <alignment horizontal="center" vertical="center"/>
    </xf>
    <xf numFmtId="171" fontId="0" fillId="0" borderId="12" xfId="0" applyNumberFormat="1" applyBorder="1" applyAlignment="1">
      <alignment horizontal="center" vertical="center"/>
    </xf>
    <xf numFmtId="0" fontId="6" fillId="14" borderId="3" xfId="0" applyFont="1" applyFill="1" applyBorder="1" applyAlignment="1">
      <alignment horizontal="left" vertical="center"/>
    </xf>
    <xf numFmtId="0" fontId="13" fillId="14" borderId="3" xfId="0" applyFont="1" applyFill="1" applyBorder="1" applyAlignment="1">
      <alignment horizontal="right"/>
    </xf>
    <xf numFmtId="10" fontId="0" fillId="14" borderId="3" xfId="1" applyNumberFormat="1" applyFont="1" applyFill="1" applyBorder="1"/>
    <xf numFmtId="0" fontId="0" fillId="14" borderId="3" xfId="0" applyFill="1" applyBorder="1"/>
    <xf numFmtId="0" fontId="6" fillId="5" borderId="3" xfId="0" applyFont="1" applyFill="1" applyBorder="1" applyAlignment="1">
      <alignment horizontal="left" vertical="center"/>
    </xf>
    <xf numFmtId="0" fontId="13" fillId="5" borderId="3" xfId="0" applyFont="1" applyFill="1" applyBorder="1" applyAlignment="1">
      <alignment horizontal="right"/>
    </xf>
    <xf numFmtId="10" fontId="0" fillId="5" borderId="3" xfId="1" applyNumberFormat="1" applyFont="1" applyFill="1" applyBorder="1"/>
    <xf numFmtId="0" fontId="0" fillId="5" borderId="3" xfId="0" applyFill="1" applyBorder="1"/>
    <xf numFmtId="0" fontId="6" fillId="5" borderId="6" xfId="0" applyFont="1" applyFill="1" applyBorder="1" applyAlignment="1">
      <alignment horizontal="center"/>
    </xf>
    <xf numFmtId="0" fontId="6" fillId="14" borderId="6"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left" vertical="center"/>
    </xf>
    <xf numFmtId="0" fontId="13" fillId="4" borderId="3" xfId="0" applyFont="1" applyFill="1" applyBorder="1" applyAlignment="1">
      <alignment horizontal="right"/>
    </xf>
    <xf numFmtId="10" fontId="0" fillId="4" borderId="3" xfId="1" applyNumberFormat="1" applyFont="1" applyFill="1" applyBorder="1"/>
    <xf numFmtId="0" fontId="0" fillId="4" borderId="3" xfId="0" applyFill="1" applyBorder="1"/>
    <xf numFmtId="0" fontId="0" fillId="17" borderId="0" xfId="0" applyFill="1"/>
    <xf numFmtId="3" fontId="0" fillId="0" borderId="1" xfId="0" applyNumberFormat="1" applyBorder="1" applyAlignment="1">
      <alignment horizontal="center"/>
    </xf>
    <xf numFmtId="0" fontId="0" fillId="13" borderId="0" xfId="0" applyFill="1"/>
    <xf numFmtId="0" fontId="6" fillId="5" borderId="5" xfId="0" applyFont="1" applyFill="1" applyBorder="1" applyAlignment="1">
      <alignment horizontal="center"/>
    </xf>
    <xf numFmtId="0" fontId="6" fillId="4" borderId="5" xfId="0" applyFont="1" applyFill="1" applyBorder="1" applyAlignment="1">
      <alignment horizontal="center"/>
    </xf>
    <xf numFmtId="0" fontId="6" fillId="14" borderId="5" xfId="0" applyFont="1" applyFill="1" applyBorder="1" applyAlignment="1">
      <alignment horizontal="center"/>
    </xf>
    <xf numFmtId="10" fontId="0" fillId="0" borderId="5" xfId="0" applyNumberFormat="1" applyBorder="1" applyAlignment="1">
      <alignment horizontal="center"/>
    </xf>
    <xf numFmtId="0" fontId="24" fillId="0" borderId="0" xfId="0" applyFont="1" applyFill="1" applyBorder="1" applyAlignment="1">
      <alignment vertical="center"/>
    </xf>
    <xf numFmtId="0" fontId="25" fillId="0" borderId="0" xfId="0" applyFont="1" applyFill="1" applyBorder="1" applyAlignment="1">
      <alignment vertical="center"/>
    </xf>
    <xf numFmtId="0" fontId="24" fillId="0" borderId="19" xfId="0" applyFont="1" applyFill="1" applyBorder="1" applyAlignment="1">
      <alignment vertical="center"/>
    </xf>
    <xf numFmtId="0" fontId="26" fillId="0" borderId="0" xfId="0" applyFont="1" applyFill="1" applyAlignment="1">
      <alignment vertical="center" wrapText="1"/>
    </xf>
    <xf numFmtId="0" fontId="26" fillId="0" borderId="19"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7" fillId="18" borderId="14" xfId="0" applyFont="1" applyFill="1" applyBorder="1" applyAlignment="1">
      <alignment horizontal="left" vertical="center"/>
    </xf>
    <xf numFmtId="0" fontId="26" fillId="18" borderId="11" xfId="0" applyFont="1" applyFill="1" applyBorder="1" applyAlignment="1">
      <alignment horizontal="left" vertical="center" wrapText="1"/>
    </xf>
    <xf numFmtId="0" fontId="26" fillId="18" borderId="15" xfId="0" applyFont="1" applyFill="1" applyBorder="1" applyAlignment="1">
      <alignment horizontal="left" vertical="center" wrapText="1"/>
    </xf>
    <xf numFmtId="0" fontId="27" fillId="18" borderId="10" xfId="0" applyFont="1" applyFill="1" applyBorder="1" applyAlignment="1">
      <alignment horizontal="left" vertical="center"/>
    </xf>
    <xf numFmtId="0" fontId="26" fillId="18" borderId="0" xfId="0" applyFont="1" applyFill="1" applyBorder="1" applyAlignment="1">
      <alignment horizontal="left" vertical="center" wrapText="1"/>
    </xf>
    <xf numFmtId="0" fontId="26" fillId="18" borderId="18" xfId="0" applyFont="1" applyFill="1" applyBorder="1" applyAlignment="1">
      <alignment horizontal="left" vertical="center" wrapText="1"/>
    </xf>
    <xf numFmtId="0" fontId="25" fillId="18" borderId="16" xfId="0" applyFont="1" applyFill="1" applyBorder="1" applyAlignment="1">
      <alignment vertical="center"/>
    </xf>
    <xf numFmtId="0" fontId="29" fillId="18" borderId="12" xfId="0" applyFont="1" applyFill="1" applyBorder="1" applyAlignment="1">
      <alignment horizontal="right" vertical="center"/>
    </xf>
    <xf numFmtId="0" fontId="25" fillId="18" borderId="12" xfId="0" applyFont="1" applyFill="1" applyBorder="1" applyAlignment="1">
      <alignment vertical="center"/>
    </xf>
    <xf numFmtId="0" fontId="30" fillId="18" borderId="12" xfId="0" applyFont="1" applyFill="1" applyBorder="1" applyAlignment="1">
      <alignment horizontal="right" vertical="center"/>
    </xf>
    <xf numFmtId="0" fontId="25" fillId="18" borderId="0" xfId="0" applyFont="1" applyFill="1" applyBorder="1" applyAlignment="1">
      <alignment vertical="center"/>
    </xf>
    <xf numFmtId="0" fontId="31" fillId="18" borderId="0" xfId="0" applyFont="1" applyFill="1" applyBorder="1" applyAlignment="1">
      <alignment vertical="center"/>
    </xf>
    <xf numFmtId="0" fontId="31" fillId="18" borderId="18" xfId="0" applyFont="1" applyFill="1" applyBorder="1" applyAlignment="1">
      <alignment vertical="center"/>
    </xf>
    <xf numFmtId="0" fontId="25" fillId="18" borderId="20" xfId="0" applyFont="1" applyFill="1" applyBorder="1" applyAlignment="1">
      <alignment horizontal="right" vertical="center"/>
    </xf>
    <xf numFmtId="0" fontId="25" fillId="18" borderId="21" xfId="0" applyFont="1" applyFill="1" applyBorder="1" applyAlignment="1">
      <alignment horizontal="right" vertical="center"/>
    </xf>
    <xf numFmtId="0" fontId="25" fillId="18" borderId="18" xfId="0" applyFont="1" applyFill="1" applyBorder="1" applyAlignment="1">
      <alignment vertical="center"/>
    </xf>
    <xf numFmtId="0" fontId="25" fillId="18" borderId="16" xfId="0" applyFont="1" applyFill="1" applyBorder="1" applyAlignment="1">
      <alignment horizontal="right" vertical="center"/>
    </xf>
    <xf numFmtId="0" fontId="32" fillId="18" borderId="12" xfId="0" applyFont="1" applyFill="1" applyBorder="1" applyAlignment="1">
      <alignment horizontal="right" vertical="center"/>
    </xf>
    <xf numFmtId="1" fontId="25" fillId="18" borderId="10" xfId="0" applyNumberFormat="1" applyFont="1" applyFill="1" applyBorder="1" applyAlignment="1">
      <alignment horizontal="right" vertical="center"/>
    </xf>
    <xf numFmtId="9" fontId="29" fillId="18" borderId="0" xfId="1" applyFont="1" applyFill="1" applyBorder="1" applyAlignment="1">
      <alignment horizontal="right" vertical="center"/>
    </xf>
    <xf numFmtId="9" fontId="30" fillId="18" borderId="0" xfId="1" applyFont="1" applyFill="1" applyBorder="1" applyAlignment="1">
      <alignment horizontal="right" vertical="center"/>
    </xf>
    <xf numFmtId="9" fontId="33" fillId="18" borderId="0" xfId="1" applyFont="1" applyFill="1" applyBorder="1" applyAlignment="1">
      <alignment horizontal="right" vertical="center"/>
    </xf>
    <xf numFmtId="1" fontId="25" fillId="18" borderId="16" xfId="0" applyNumberFormat="1" applyFont="1" applyFill="1" applyBorder="1" applyAlignment="1">
      <alignment horizontal="right" vertical="center"/>
    </xf>
    <xf numFmtId="9" fontId="29" fillId="18" borderId="12" xfId="1" applyFont="1" applyFill="1" applyBorder="1" applyAlignment="1">
      <alignment horizontal="right" vertical="center"/>
    </xf>
    <xf numFmtId="9" fontId="30" fillId="18" borderId="12" xfId="1" applyFont="1" applyFill="1" applyBorder="1" applyAlignment="1">
      <alignment horizontal="right" vertical="center"/>
    </xf>
    <xf numFmtId="9" fontId="33" fillId="18" borderId="12" xfId="1" applyFont="1" applyFill="1" applyBorder="1" applyAlignment="1">
      <alignment horizontal="right" vertical="center"/>
    </xf>
    <xf numFmtId="0" fontId="25" fillId="18" borderId="10" xfId="0" applyFont="1" applyFill="1" applyBorder="1" applyAlignment="1">
      <alignment horizontal="right" vertical="center" shrinkToFit="1"/>
    </xf>
    <xf numFmtId="10" fontId="34" fillId="18" borderId="0" xfId="0" applyNumberFormat="1" applyFont="1" applyFill="1" applyBorder="1" applyAlignment="1">
      <alignment horizontal="right" vertical="center"/>
    </xf>
    <xf numFmtId="10" fontId="35" fillId="18" borderId="0" xfId="0" applyNumberFormat="1" applyFont="1" applyFill="1" applyBorder="1" applyAlignment="1">
      <alignment horizontal="right" vertical="center"/>
    </xf>
    <xf numFmtId="10" fontId="36" fillId="18" borderId="0" xfId="0" applyNumberFormat="1" applyFont="1" applyFill="1" applyBorder="1" applyAlignment="1">
      <alignment horizontal="right" vertical="center"/>
    </xf>
    <xf numFmtId="0" fontId="25" fillId="18" borderId="10" xfId="0" applyFont="1" applyFill="1" applyBorder="1" applyAlignment="1">
      <alignment vertical="center"/>
    </xf>
    <xf numFmtId="2" fontId="33" fillId="18" borderId="0" xfId="0" applyNumberFormat="1" applyFont="1" applyFill="1" applyBorder="1" applyAlignment="1">
      <alignment horizontal="center" vertical="center"/>
    </xf>
    <xf numFmtId="0" fontId="25" fillId="18" borderId="0" xfId="0" applyFont="1" applyFill="1" applyBorder="1" applyAlignment="1">
      <alignment horizontal="right" vertical="center"/>
    </xf>
    <xf numFmtId="2" fontId="25" fillId="19" borderId="6" xfId="1" applyNumberFormat="1" applyFont="1" applyFill="1" applyBorder="1" applyAlignment="1">
      <alignment horizontal="center" vertical="center"/>
    </xf>
    <xf numFmtId="0" fontId="25" fillId="18" borderId="17" xfId="0" applyFont="1" applyFill="1" applyBorder="1" applyAlignment="1">
      <alignment vertical="center"/>
    </xf>
    <xf numFmtId="0" fontId="26" fillId="0" borderId="0" xfId="0" applyFont="1" applyAlignment="1">
      <alignment vertical="center" wrapText="1"/>
    </xf>
    <xf numFmtId="0" fontId="37" fillId="18" borderId="12" xfId="0" applyFont="1" applyFill="1" applyBorder="1" applyAlignment="1">
      <alignment horizontal="right" vertical="center"/>
    </xf>
    <xf numFmtId="0" fontId="29" fillId="18" borderId="21" xfId="0" applyFont="1" applyFill="1" applyBorder="1" applyAlignment="1">
      <alignment horizontal="right" vertical="center"/>
    </xf>
    <xf numFmtId="0" fontId="25" fillId="18" borderId="21" xfId="0" applyFont="1" applyFill="1" applyBorder="1" applyAlignment="1">
      <alignment vertical="center"/>
    </xf>
    <xf numFmtId="0" fontId="37" fillId="18" borderId="21" xfId="0" applyFont="1" applyFill="1" applyBorder="1" applyAlignment="1">
      <alignment horizontal="right" vertical="center"/>
    </xf>
    <xf numFmtId="0" fontId="32" fillId="18" borderId="21" xfId="0" applyFont="1" applyFill="1" applyBorder="1" applyAlignment="1">
      <alignment horizontal="right" vertical="center"/>
    </xf>
    <xf numFmtId="9" fontId="37" fillId="18" borderId="0" xfId="1" applyFont="1" applyFill="1" applyBorder="1" applyAlignment="1">
      <alignment horizontal="right" vertical="center"/>
    </xf>
    <xf numFmtId="9" fontId="37" fillId="18" borderId="12" xfId="1" applyFont="1" applyFill="1" applyBorder="1" applyAlignment="1">
      <alignment horizontal="right" vertical="center"/>
    </xf>
    <xf numFmtId="10" fontId="38" fillId="18" borderId="0" xfId="0" applyNumberFormat="1" applyFont="1" applyFill="1" applyBorder="1" applyAlignment="1">
      <alignment horizontal="right" vertical="center"/>
    </xf>
    <xf numFmtId="0" fontId="30" fillId="18" borderId="21" xfId="0" applyFont="1" applyFill="1" applyBorder="1" applyAlignment="1">
      <alignment horizontal="right" vertical="center"/>
    </xf>
    <xf numFmtId="10" fontId="33" fillId="18" borderId="11" xfId="1" applyNumberFormat="1" applyFont="1" applyFill="1" applyBorder="1" applyAlignment="1">
      <alignment horizontal="right" vertical="center"/>
    </xf>
    <xf numFmtId="10" fontId="33" fillId="18" borderId="0" xfId="1" applyNumberFormat="1" applyFont="1" applyFill="1" applyBorder="1" applyAlignment="1">
      <alignment horizontal="right" vertical="center"/>
    </xf>
    <xf numFmtId="10" fontId="33" fillId="18" borderId="12" xfId="1" applyNumberFormat="1" applyFont="1" applyFill="1" applyBorder="1" applyAlignment="1">
      <alignment horizontal="right" vertical="center"/>
    </xf>
    <xf numFmtId="0" fontId="40" fillId="15" borderId="0" xfId="0" applyFont="1" applyFill="1" applyAlignment="1">
      <alignment vertical="center"/>
    </xf>
    <xf numFmtId="0" fontId="40" fillId="15" borderId="0" xfId="0" applyFont="1" applyFill="1" applyBorder="1" applyAlignment="1">
      <alignment vertical="center"/>
    </xf>
    <xf numFmtId="0" fontId="5" fillId="15" borderId="0" xfId="0" applyFont="1" applyFill="1"/>
    <xf numFmtId="0" fontId="33" fillId="0" borderId="0" xfId="0" applyFont="1" applyFill="1" applyBorder="1" applyAlignment="1">
      <alignment vertical="center"/>
    </xf>
    <xf numFmtId="0" fontId="24" fillId="18" borderId="14" xfId="0" applyFont="1" applyFill="1" applyBorder="1" applyAlignment="1">
      <alignment vertical="center"/>
    </xf>
    <xf numFmtId="0" fontId="2" fillId="18" borderId="11" xfId="0" applyFont="1" applyFill="1" applyBorder="1" applyAlignment="1">
      <alignment horizontal="left" vertical="center"/>
    </xf>
    <xf numFmtId="0" fontId="0" fillId="18" borderId="11" xfId="0" applyFill="1" applyBorder="1" applyAlignment="1">
      <alignment vertical="center"/>
    </xf>
    <xf numFmtId="0" fontId="0" fillId="18" borderId="15" xfId="0" applyFill="1" applyBorder="1" applyAlignment="1">
      <alignment vertical="center"/>
    </xf>
    <xf numFmtId="0" fontId="41" fillId="18" borderId="0" xfId="0" applyFont="1" applyFill="1" applyBorder="1" applyAlignment="1">
      <alignment vertical="center"/>
    </xf>
    <xf numFmtId="0" fontId="2" fillId="18" borderId="0" xfId="0" applyFont="1" applyFill="1" applyBorder="1" applyAlignment="1">
      <alignment horizontal="left" vertical="center"/>
    </xf>
    <xf numFmtId="0" fontId="0" fillId="18" borderId="0" xfId="0" applyFill="1" applyBorder="1" applyAlignment="1">
      <alignment vertical="center"/>
    </xf>
    <xf numFmtId="0" fontId="0" fillId="18" borderId="18" xfId="0" applyFill="1" applyBorder="1" applyAlignment="1">
      <alignment vertical="center"/>
    </xf>
    <xf numFmtId="0" fontId="25" fillId="18" borderId="0" xfId="0" applyFont="1" applyFill="1" applyBorder="1" applyAlignment="1">
      <alignment horizontal="center" vertical="center"/>
    </xf>
    <xf numFmtId="0" fontId="2" fillId="18" borderId="0" xfId="0" applyFont="1" applyFill="1" applyBorder="1" applyAlignment="1">
      <alignment horizontal="center" vertical="center"/>
    </xf>
    <xf numFmtId="0" fontId="25" fillId="18" borderId="12" xfId="0" applyFont="1" applyFill="1" applyBorder="1" applyAlignment="1">
      <alignment horizontal="center" vertical="center"/>
    </xf>
    <xf numFmtId="1" fontId="25" fillId="18" borderId="0" xfId="1" applyNumberFormat="1" applyFont="1" applyFill="1" applyBorder="1" applyAlignment="1">
      <alignment horizontal="center" vertical="center"/>
    </xf>
    <xf numFmtId="174" fontId="29" fillId="18" borderId="0" xfId="1" applyNumberFormat="1" applyFont="1" applyFill="1" applyBorder="1" applyAlignment="1">
      <alignment horizontal="right" vertical="center"/>
    </xf>
    <xf numFmtId="168" fontId="2" fillId="18" borderId="0" xfId="0" applyNumberFormat="1" applyFont="1" applyFill="1" applyBorder="1" applyAlignment="1">
      <alignment horizontal="center" vertical="center"/>
    </xf>
    <xf numFmtId="2" fontId="42" fillId="18" borderId="0" xfId="1" applyNumberFormat="1" applyFont="1" applyFill="1" applyBorder="1" applyAlignment="1">
      <alignment horizontal="right" vertical="center"/>
    </xf>
    <xf numFmtId="174" fontId="42" fillId="18" borderId="0" xfId="0" applyNumberFormat="1" applyFont="1" applyFill="1" applyBorder="1" applyAlignment="1">
      <alignment horizontal="right" vertical="center"/>
    </xf>
    <xf numFmtId="0" fontId="43" fillId="18" borderId="0" xfId="0" applyFont="1" applyFill="1" applyBorder="1" applyAlignment="1">
      <alignment vertical="center"/>
    </xf>
    <xf numFmtId="174" fontId="29" fillId="18" borderId="6" xfId="0" applyNumberFormat="1" applyFont="1" applyFill="1" applyBorder="1" applyAlignment="1">
      <alignment horizontal="right" vertical="center"/>
    </xf>
    <xf numFmtId="0" fontId="25" fillId="18" borderId="0" xfId="0" applyFont="1" applyFill="1" applyAlignment="1">
      <alignment vertical="center"/>
    </xf>
    <xf numFmtId="0" fontId="31" fillId="18" borderId="10" xfId="0" applyFont="1" applyFill="1" applyBorder="1" applyAlignment="1">
      <alignment vertical="center"/>
    </xf>
    <xf numFmtId="0" fontId="9" fillId="18" borderId="0" xfId="0" applyFont="1" applyFill="1" applyBorder="1" applyAlignment="1">
      <alignment vertical="center"/>
    </xf>
    <xf numFmtId="0" fontId="25" fillId="0" borderId="0" xfId="0" applyFont="1" applyFill="1" applyAlignment="1">
      <alignment vertical="center"/>
    </xf>
    <xf numFmtId="0" fontId="33" fillId="18" borderId="12" xfId="0" applyFont="1" applyFill="1" applyBorder="1" applyAlignment="1">
      <alignment vertical="center"/>
    </xf>
    <xf numFmtId="0" fontId="44" fillId="18" borderId="12" xfId="0" applyFont="1" applyFill="1" applyBorder="1" applyAlignment="1">
      <alignment vertical="center"/>
    </xf>
    <xf numFmtId="10" fontId="33" fillId="18" borderId="12" xfId="1" applyNumberFormat="1" applyFont="1" applyFill="1" applyBorder="1" applyAlignment="1">
      <alignment horizontal="center" vertical="center"/>
    </xf>
    <xf numFmtId="0" fontId="45" fillId="15" borderId="0" xfId="0" applyFont="1" applyFill="1" applyBorder="1" applyAlignment="1">
      <alignment vertical="center"/>
    </xf>
    <xf numFmtId="10" fontId="33" fillId="0" borderId="0" xfId="0" applyNumberFormat="1" applyFont="1" applyFill="1" applyBorder="1" applyAlignment="1">
      <alignment horizontal="center" vertical="center"/>
    </xf>
    <xf numFmtId="9" fontId="33" fillId="0" borderId="0" xfId="0" applyNumberFormat="1" applyFont="1" applyFill="1" applyBorder="1" applyAlignment="1">
      <alignment horizontal="center" vertical="center"/>
    </xf>
    <xf numFmtId="39" fontId="33" fillId="0" borderId="0" xfId="5" applyNumberFormat="1" applyFont="1" applyFill="1" applyBorder="1" applyAlignment="1">
      <alignment horizontal="center" vertical="center"/>
    </xf>
    <xf numFmtId="0" fontId="26" fillId="0" borderId="0" xfId="0" applyFont="1" applyFill="1" applyAlignment="1">
      <alignment vertical="center"/>
    </xf>
    <xf numFmtId="0" fontId="27" fillId="18" borderId="14" xfId="0" applyFont="1" applyFill="1" applyBorder="1" applyAlignment="1">
      <alignment vertical="center"/>
    </xf>
    <xf numFmtId="0" fontId="26" fillId="18" borderId="11" xfId="0" applyFont="1" applyFill="1" applyBorder="1" applyAlignment="1">
      <alignment vertical="center"/>
    </xf>
    <xf numFmtId="0" fontId="26" fillId="18" borderId="15" xfId="0" applyFont="1" applyFill="1" applyBorder="1" applyAlignment="1">
      <alignment vertical="center"/>
    </xf>
    <xf numFmtId="0" fontId="27" fillId="18" borderId="16" xfId="0" applyFont="1" applyFill="1" applyBorder="1" applyAlignment="1">
      <alignment vertical="center"/>
    </xf>
    <xf numFmtId="0" fontId="26" fillId="18" borderId="12" xfId="0" applyFont="1" applyFill="1" applyBorder="1" applyAlignment="1">
      <alignment vertical="center"/>
    </xf>
    <xf numFmtId="0" fontId="26" fillId="18" borderId="17" xfId="0" applyFont="1" applyFill="1" applyBorder="1" applyAlignment="1">
      <alignment vertical="center"/>
    </xf>
    <xf numFmtId="0" fontId="47" fillId="18" borderId="20" xfId="0" applyFont="1" applyFill="1" applyBorder="1" applyAlignment="1">
      <alignment vertical="center"/>
    </xf>
    <xf numFmtId="0" fontId="25" fillId="18" borderId="21" xfId="0" applyFont="1" applyFill="1" applyBorder="1" applyAlignment="1">
      <alignment horizontal="right" vertical="center" wrapText="1"/>
    </xf>
    <xf numFmtId="0" fontId="29" fillId="18" borderId="21" xfId="0" applyFont="1" applyFill="1" applyBorder="1" applyAlignment="1">
      <alignment horizontal="center" vertical="center" wrapText="1"/>
    </xf>
    <xf numFmtId="0" fontId="33" fillId="18" borderId="22" xfId="0" applyFont="1" applyFill="1" applyBorder="1" applyAlignment="1">
      <alignment horizontal="center" vertical="center" wrapText="1"/>
    </xf>
    <xf numFmtId="0" fontId="37" fillId="18" borderId="22" xfId="0" applyFont="1" applyFill="1" applyBorder="1" applyAlignment="1">
      <alignment horizontal="center" vertical="center" wrapText="1"/>
    </xf>
    <xf numFmtId="0" fontId="47" fillId="18" borderId="10" xfId="0" applyFont="1" applyFill="1" applyBorder="1" applyAlignment="1">
      <alignment vertical="center"/>
    </xf>
    <xf numFmtId="175" fontId="25" fillId="18" borderId="0" xfId="0" applyNumberFormat="1" applyFont="1" applyFill="1" applyBorder="1" applyAlignment="1">
      <alignment horizontal="right" vertical="center"/>
    </xf>
    <xf numFmtId="0" fontId="29" fillId="18" borderId="0" xfId="0" applyFont="1" applyFill="1" applyBorder="1" applyAlignment="1">
      <alignment horizontal="center" vertical="center"/>
    </xf>
    <xf numFmtId="174" fontId="33" fillId="18" borderId="18" xfId="1" applyNumberFormat="1" applyFont="1" applyFill="1" applyBorder="1" applyAlignment="1">
      <alignment horizontal="right" vertical="center"/>
    </xf>
    <xf numFmtId="174" fontId="37" fillId="18" borderId="18" xfId="1" applyNumberFormat="1" applyFont="1" applyFill="1" applyBorder="1" applyAlignment="1">
      <alignment horizontal="right" vertical="center"/>
    </xf>
    <xf numFmtId="175" fontId="48" fillId="18" borderId="0" xfId="0" applyNumberFormat="1" applyFont="1" applyFill="1" applyBorder="1" applyAlignment="1">
      <alignment horizontal="right" vertical="center"/>
    </xf>
    <xf numFmtId="0" fontId="49" fillId="18" borderId="0" xfId="0" applyFont="1" applyFill="1" applyBorder="1" applyAlignment="1">
      <alignment horizontal="center" vertical="center"/>
    </xf>
    <xf numFmtId="174" fontId="50" fillId="18" borderId="18" xfId="1" applyNumberFormat="1" applyFont="1" applyFill="1" applyBorder="1" applyAlignment="1">
      <alignment horizontal="right" vertical="center"/>
    </xf>
    <xf numFmtId="0" fontId="47" fillId="18" borderId="10" xfId="0" applyFont="1" applyFill="1" applyBorder="1" applyAlignment="1">
      <alignment horizontal="right" vertical="center"/>
    </xf>
    <xf numFmtId="176" fontId="29" fillId="18" borderId="0" xfId="0" applyNumberFormat="1" applyFont="1" applyFill="1" applyBorder="1" applyAlignment="1">
      <alignment horizontal="center" vertical="center"/>
    </xf>
    <xf numFmtId="174" fontId="25" fillId="18" borderId="18" xfId="0" applyNumberFormat="1" applyFont="1" applyFill="1" applyBorder="1" applyAlignment="1">
      <alignment horizontal="right" vertical="center"/>
    </xf>
    <xf numFmtId="174" fontId="37" fillId="18" borderId="18" xfId="0" applyNumberFormat="1" applyFont="1" applyFill="1" applyBorder="1" applyAlignment="1">
      <alignment horizontal="right" vertical="center"/>
    </xf>
    <xf numFmtId="0" fontId="25" fillId="18" borderId="20" xfId="0" applyFont="1" applyFill="1" applyBorder="1" applyAlignment="1">
      <alignment vertical="center"/>
    </xf>
    <xf numFmtId="0" fontId="37" fillId="18" borderId="23" xfId="0" applyFont="1" applyFill="1" applyBorder="1" applyAlignment="1">
      <alignment horizontal="right" vertical="center"/>
    </xf>
    <xf numFmtId="174" fontId="51" fillId="18" borderId="22" xfId="0" applyNumberFormat="1" applyFont="1" applyFill="1" applyBorder="1" applyAlignment="1">
      <alignment vertical="center"/>
    </xf>
    <xf numFmtId="0" fontId="25" fillId="0" borderId="19" xfId="0" applyFont="1" applyFill="1" applyBorder="1" applyAlignment="1">
      <alignment vertical="center"/>
    </xf>
    <xf numFmtId="0" fontId="6" fillId="16" borderId="0" xfId="0" applyFont="1" applyFill="1" applyAlignment="1">
      <alignment horizontal="center" vertical="center"/>
    </xf>
    <xf numFmtId="0" fontId="53" fillId="9" borderId="0" xfId="0" applyFont="1" applyFill="1" applyAlignment="1">
      <alignment horizontal="left"/>
    </xf>
    <xf numFmtId="0" fontId="54" fillId="9" borderId="0" xfId="0" applyFont="1" applyFill="1" applyAlignment="1">
      <alignment horizontal="right"/>
    </xf>
    <xf numFmtId="0" fontId="0" fillId="11" borderId="8" xfId="0" applyFill="1" applyBorder="1" applyAlignment="1">
      <alignment horizontal="center" vertical="center"/>
    </xf>
    <xf numFmtId="3" fontId="0" fillId="0" borderId="8" xfId="0" applyNumberFormat="1" applyBorder="1" applyAlignment="1">
      <alignment horizontal="center" vertical="center"/>
    </xf>
    <xf numFmtId="172" fontId="0" fillId="0" borderId="8" xfId="0" applyNumberFormat="1" applyBorder="1" applyAlignment="1">
      <alignment horizontal="center" vertical="center"/>
    </xf>
    <xf numFmtId="10" fontId="0" fillId="0" borderId="8" xfId="1" applyNumberFormat="1" applyFont="1" applyBorder="1" applyAlignment="1">
      <alignment horizontal="center" vertical="center"/>
    </xf>
    <xf numFmtId="0" fontId="6" fillId="20" borderId="5" xfId="0" applyFont="1" applyFill="1" applyBorder="1" applyAlignment="1">
      <alignment horizontal="center"/>
    </xf>
    <xf numFmtId="0" fontId="6" fillId="20" borderId="6" xfId="0" applyFont="1" applyFill="1" applyBorder="1" applyAlignment="1">
      <alignment horizontal="center" vertical="center"/>
    </xf>
    <xf numFmtId="10" fontId="0" fillId="0" borderId="5" xfId="0" applyNumberFormat="1" applyBorder="1"/>
    <xf numFmtId="0" fontId="0" fillId="0" borderId="0" xfId="0" applyFill="1" applyAlignment="1">
      <alignment horizontal="center" vertical="center"/>
    </xf>
    <xf numFmtId="0" fontId="0" fillId="0" borderId="3" xfId="0" applyFill="1" applyBorder="1" applyAlignment="1">
      <alignment horizontal="center" vertical="center"/>
    </xf>
    <xf numFmtId="0" fontId="0" fillId="21" borderId="0" xfId="0" applyFill="1" applyBorder="1" applyAlignment="1">
      <alignment horizontal="center" vertical="center"/>
    </xf>
    <xf numFmtId="0" fontId="0" fillId="21" borderId="3" xfId="0" applyFill="1" applyBorder="1" applyAlignment="1">
      <alignment horizontal="center" vertical="center"/>
    </xf>
    <xf numFmtId="170" fontId="0" fillId="0" borderId="14" xfId="0" applyNumberFormat="1" applyBorder="1" applyAlignment="1">
      <alignment horizontal="center" vertical="center"/>
    </xf>
    <xf numFmtId="170" fontId="0" fillId="0" borderId="11" xfId="1" applyNumberFormat="1" applyFont="1" applyBorder="1" applyAlignment="1">
      <alignment horizontal="center" vertical="center"/>
    </xf>
    <xf numFmtId="170" fontId="0" fillId="0" borderId="15" xfId="1" applyNumberFormat="1" applyFont="1" applyBorder="1" applyAlignment="1">
      <alignment horizontal="center" vertical="center"/>
    </xf>
    <xf numFmtId="170" fontId="0" fillId="0" borderId="10" xfId="1" applyNumberFormat="1" applyFont="1" applyBorder="1" applyAlignment="1">
      <alignment horizontal="center" vertical="center"/>
    </xf>
    <xf numFmtId="170" fontId="0" fillId="0" borderId="0" xfId="1" applyNumberFormat="1" applyFont="1" applyBorder="1" applyAlignment="1">
      <alignment horizontal="center" vertical="center"/>
    </xf>
    <xf numFmtId="170" fontId="0" fillId="0" borderId="18" xfId="1" applyNumberFormat="1" applyFont="1" applyBorder="1" applyAlignment="1">
      <alignment horizontal="center" vertical="center"/>
    </xf>
    <xf numFmtId="170" fontId="0" fillId="0" borderId="16" xfId="1" applyNumberFormat="1" applyFont="1" applyBorder="1" applyAlignment="1">
      <alignment horizontal="center" vertical="center"/>
    </xf>
    <xf numFmtId="170" fontId="0" fillId="0" borderId="12" xfId="1" applyNumberFormat="1" applyFont="1" applyBorder="1" applyAlignment="1">
      <alignment horizontal="center" vertical="center"/>
    </xf>
    <xf numFmtId="170" fontId="0" fillId="0" borderId="17" xfId="1" applyNumberFormat="1" applyFont="1" applyBorder="1" applyAlignment="1">
      <alignment horizontal="center" vertical="center"/>
    </xf>
    <xf numFmtId="170" fontId="0" fillId="0" borderId="11" xfId="0" applyNumberFormat="1" applyBorder="1" applyAlignment="1">
      <alignment horizontal="center" vertical="center"/>
    </xf>
    <xf numFmtId="170" fontId="0" fillId="0" borderId="15" xfId="0" applyNumberFormat="1" applyBorder="1" applyAlignment="1">
      <alignment horizontal="center" vertical="center"/>
    </xf>
    <xf numFmtId="170" fontId="0" fillId="0" borderId="10" xfId="0" applyNumberFormat="1" applyBorder="1" applyAlignment="1">
      <alignment horizontal="center" vertical="center"/>
    </xf>
    <xf numFmtId="170" fontId="0" fillId="0" borderId="0" xfId="0" applyNumberFormat="1" applyBorder="1" applyAlignment="1">
      <alignment horizontal="center" vertical="center"/>
    </xf>
    <xf numFmtId="170" fontId="0" fillId="0" borderId="18" xfId="0" applyNumberFormat="1" applyBorder="1" applyAlignment="1">
      <alignment horizontal="center" vertical="center"/>
    </xf>
    <xf numFmtId="170" fontId="0" fillId="0" borderId="16" xfId="0" applyNumberFormat="1" applyBorder="1" applyAlignment="1">
      <alignment horizontal="center" vertical="center"/>
    </xf>
    <xf numFmtId="170" fontId="0" fillId="0" borderId="12" xfId="0" applyNumberFormat="1" applyBorder="1" applyAlignment="1">
      <alignment horizontal="center" vertical="center"/>
    </xf>
    <xf numFmtId="170" fontId="0" fillId="0" borderId="17" xfId="0" applyNumberFormat="1" applyBorder="1" applyAlignment="1">
      <alignment horizontal="center" vertical="center"/>
    </xf>
    <xf numFmtId="0" fontId="6" fillId="8" borderId="3" xfId="0" applyFont="1" applyFill="1" applyBorder="1" applyAlignment="1">
      <alignment horizontal="left"/>
    </xf>
    <xf numFmtId="0" fontId="0" fillId="8" borderId="3" xfId="0" applyFill="1" applyBorder="1" applyAlignment="1">
      <alignment horizontal="left"/>
    </xf>
    <xf numFmtId="0" fontId="0" fillId="11" borderId="14"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173" fontId="0" fillId="12" borderId="15" xfId="0" applyNumberFormat="1" applyFill="1" applyBorder="1" applyAlignment="1">
      <alignment horizontal="center" vertical="center"/>
    </xf>
    <xf numFmtId="173" fontId="0" fillId="12" borderId="18" xfId="0" applyNumberFormat="1" applyFill="1" applyBorder="1" applyAlignment="1">
      <alignment horizontal="center" vertical="center"/>
    </xf>
    <xf numFmtId="173" fontId="0" fillId="12" borderId="17" xfId="0" applyNumberFormat="1" applyFill="1" applyBorder="1" applyAlignment="1">
      <alignment horizontal="center" vertical="center"/>
    </xf>
    <xf numFmtId="0" fontId="21" fillId="0" borderId="0" xfId="0" applyFont="1" applyAlignment="1">
      <alignment horizontal="center" vertical="center"/>
    </xf>
    <xf numFmtId="0" fontId="21" fillId="5" borderId="20" xfId="0" applyFont="1"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167" fontId="57" fillId="4" borderId="0" xfId="2" applyNumberFormat="1" applyFont="1" applyFill="1" applyAlignment="1">
      <alignment horizontal="center"/>
    </xf>
    <xf numFmtId="165" fontId="2" fillId="2" borderId="0" xfId="3" applyNumberFormat="1" applyFont="1" applyFill="1"/>
    <xf numFmtId="165" fontId="2" fillId="2" borderId="0" xfId="2" applyNumberFormat="1" applyFill="1"/>
    <xf numFmtId="165" fontId="2" fillId="0" borderId="0" xfId="2" applyNumberFormat="1" applyFill="1" applyBorder="1"/>
    <xf numFmtId="0" fontId="2" fillId="0" borderId="0" xfId="2"/>
    <xf numFmtId="0" fontId="3" fillId="23" borderId="0" xfId="2" applyFont="1" applyFill="1"/>
    <xf numFmtId="166" fontId="3" fillId="23" borderId="0" xfId="4" applyNumberFormat="1" applyFont="1" applyFill="1"/>
    <xf numFmtId="166" fontId="3" fillId="0" borderId="0" xfId="4" applyNumberFormat="1" applyFont="1" applyFill="1" applyBorder="1"/>
    <xf numFmtId="164" fontId="2" fillId="0" borderId="0" xfId="3" applyFont="1" applyFill="1" applyBorder="1"/>
    <xf numFmtId="0" fontId="2" fillId="0" borderId="0" xfId="2" applyFill="1" applyBorder="1"/>
    <xf numFmtId="0" fontId="7" fillId="8" borderId="25" xfId="0" applyFont="1" applyFill="1" applyBorder="1"/>
    <xf numFmtId="0" fontId="0" fillId="7" borderId="26" xfId="0" applyFill="1" applyBorder="1" applyAlignment="1">
      <alignment horizontal="center" vertical="center"/>
    </xf>
    <xf numFmtId="0" fontId="7" fillId="8" borderId="27" xfId="0" applyFont="1" applyFill="1" applyBorder="1"/>
    <xf numFmtId="0" fontId="0" fillId="7" borderId="28" xfId="0" applyFill="1" applyBorder="1" applyAlignment="1">
      <alignment horizontal="center" vertical="center"/>
    </xf>
    <xf numFmtId="0" fontId="7" fillId="8" borderId="29" xfId="0" applyFont="1" applyFill="1" applyBorder="1"/>
    <xf numFmtId="0" fontId="0" fillId="7" borderId="30" xfId="0" applyFill="1" applyBorder="1" applyAlignment="1">
      <alignment horizontal="center" vertical="center"/>
    </xf>
    <xf numFmtId="0" fontId="3" fillId="3" borderId="0" xfId="2" applyFont="1" applyFill="1" applyAlignment="1">
      <alignment horizontal="center" vertical="center" wrapText="1"/>
    </xf>
    <xf numFmtId="0" fontId="3" fillId="0" borderId="0" xfId="2" applyFont="1" applyFill="1" applyAlignment="1">
      <alignment horizontal="center" vertical="center" wrapText="1"/>
    </xf>
    <xf numFmtId="0" fontId="2" fillId="0" borderId="0" xfId="2" applyAlignment="1">
      <alignment horizontal="center"/>
    </xf>
    <xf numFmtId="2" fontId="2" fillId="0" borderId="0" xfId="2" applyNumberFormat="1" applyAlignment="1">
      <alignment horizontal="center"/>
    </xf>
    <xf numFmtId="3" fontId="2" fillId="0" borderId="0" xfId="3" applyNumberFormat="1" applyAlignment="1">
      <alignment horizontal="center"/>
    </xf>
    <xf numFmtId="4" fontId="2" fillId="0" borderId="0" xfId="3" applyNumberFormat="1" applyAlignment="1">
      <alignment horizontal="center"/>
    </xf>
    <xf numFmtId="10" fontId="2" fillId="0" borderId="0" xfId="4" applyNumberFormat="1" applyAlignment="1">
      <alignment horizontal="center"/>
    </xf>
    <xf numFmtId="10" fontId="2" fillId="0" borderId="0" xfId="2" applyNumberFormat="1" applyAlignment="1">
      <alignment horizontal="center"/>
    </xf>
    <xf numFmtId="4" fontId="2" fillId="0" borderId="0" xfId="2" applyNumberFormat="1" applyAlignment="1">
      <alignment horizontal="center"/>
    </xf>
    <xf numFmtId="39" fontId="2" fillId="0" borderId="0" xfId="3" applyNumberFormat="1" applyAlignment="1">
      <alignment horizontal="center"/>
    </xf>
    <xf numFmtId="2" fontId="2" fillId="0" borderId="0" xfId="3" applyNumberFormat="1" applyAlignment="1">
      <alignment horizontal="center"/>
    </xf>
    <xf numFmtId="0" fontId="2" fillId="24" borderId="0" xfId="2" applyFill="1" applyAlignment="1">
      <alignment horizontal="center"/>
    </xf>
    <xf numFmtId="0" fontId="2" fillId="25" borderId="0" xfId="2" applyFill="1" applyAlignment="1">
      <alignment horizontal="center"/>
    </xf>
    <xf numFmtId="2" fontId="2" fillId="25" borderId="0" xfId="2" applyNumberFormat="1" applyFill="1" applyAlignment="1">
      <alignment horizontal="center"/>
    </xf>
    <xf numFmtId="3" fontId="2" fillId="24" borderId="0" xfId="3" applyNumberFormat="1" applyFont="1" applyFill="1" applyAlignment="1">
      <alignment horizontal="center"/>
    </xf>
    <xf numFmtId="3" fontId="2" fillId="25" borderId="0" xfId="3" applyNumberFormat="1" applyFill="1" applyAlignment="1">
      <alignment horizontal="center"/>
    </xf>
    <xf numFmtId="4" fontId="2" fillId="25" borderId="0" xfId="3" applyNumberFormat="1" applyFill="1" applyAlignment="1">
      <alignment horizontal="center"/>
    </xf>
    <xf numFmtId="10" fontId="2" fillId="25" borderId="0" xfId="4" applyNumberFormat="1" applyFill="1" applyAlignment="1">
      <alignment horizontal="center"/>
    </xf>
    <xf numFmtId="10" fontId="2" fillId="25" borderId="0" xfId="2" applyNumberFormat="1" applyFill="1" applyAlignment="1">
      <alignment horizontal="center"/>
    </xf>
    <xf numFmtId="4" fontId="2" fillId="25" borderId="0" xfId="2" applyNumberFormat="1" applyFill="1" applyAlignment="1">
      <alignment horizontal="center"/>
    </xf>
    <xf numFmtId="39" fontId="2" fillId="25" borderId="0" xfId="3" applyNumberFormat="1" applyFill="1" applyAlignment="1">
      <alignment horizontal="center"/>
    </xf>
    <xf numFmtId="2" fontId="2" fillId="25" borderId="0" xfId="3" applyNumberFormat="1" applyFill="1" applyAlignment="1">
      <alignment horizontal="center"/>
    </xf>
    <xf numFmtId="170" fontId="59" fillId="7" borderId="0" xfId="0" applyNumberFormat="1" applyFont="1" applyFill="1" applyAlignment="1">
      <alignment horizontal="center" vertical="center"/>
    </xf>
    <xf numFmtId="0" fontId="6" fillId="26" borderId="31" xfId="0" applyFont="1" applyFill="1" applyBorder="1" applyAlignment="1">
      <alignment horizontal="center" vertical="center"/>
    </xf>
    <xf numFmtId="0" fontId="6" fillId="27" borderId="32" xfId="0" applyFont="1" applyFill="1" applyBorder="1" applyAlignment="1">
      <alignment horizontal="center" vertical="center"/>
    </xf>
    <xf numFmtId="0" fontId="60" fillId="28" borderId="0" xfId="26" applyFill="1" applyAlignment="1" applyProtection="1">
      <alignment horizontal="center" vertical="center"/>
    </xf>
    <xf numFmtId="0" fontId="6" fillId="29" borderId="32" xfId="0" applyFont="1" applyFill="1" applyBorder="1" applyAlignment="1">
      <alignment horizontal="center" vertical="center"/>
    </xf>
    <xf numFmtId="0" fontId="6" fillId="29" borderId="33" xfId="0" applyFont="1" applyFill="1" applyBorder="1" applyAlignment="1">
      <alignment horizontal="center" vertical="center"/>
    </xf>
    <xf numFmtId="0" fontId="0" fillId="0" borderId="0" xfId="0" applyAlignment="1">
      <alignment horizontal="center"/>
    </xf>
    <xf numFmtId="0" fontId="0" fillId="21" borderId="0" xfId="0" applyFill="1" applyAlignment="1">
      <alignment horizontal="center" vertical="center"/>
    </xf>
    <xf numFmtId="0" fontId="0" fillId="7" borderId="0" xfId="0" applyFill="1"/>
    <xf numFmtId="0" fontId="0" fillId="21" borderId="10" xfId="0" applyFill="1" applyBorder="1" applyAlignment="1">
      <alignment horizontal="center" vertical="center"/>
    </xf>
    <xf numFmtId="0" fontId="0" fillId="21" borderId="16" xfId="0" applyFill="1" applyBorder="1" applyAlignment="1">
      <alignment horizontal="center" vertical="center"/>
    </xf>
    <xf numFmtId="0" fontId="10" fillId="31" borderId="6" xfId="0" applyFont="1" applyFill="1" applyBorder="1" applyAlignment="1">
      <alignment horizontal="center" vertical="center"/>
    </xf>
    <xf numFmtId="0" fontId="0" fillId="0" borderId="14" xfId="0" applyBorder="1"/>
    <xf numFmtId="0" fontId="0" fillId="0" borderId="11" xfId="0" applyBorder="1"/>
    <xf numFmtId="0" fontId="0" fillId="0" borderId="15" xfId="0" applyBorder="1"/>
    <xf numFmtId="0" fontId="0" fillId="0" borderId="10" xfId="0" applyBorder="1"/>
    <xf numFmtId="0" fontId="0" fillId="0" borderId="18" xfId="0" applyBorder="1"/>
    <xf numFmtId="0" fontId="0" fillId="0" borderId="16" xfId="0" applyBorder="1"/>
    <xf numFmtId="0" fontId="0" fillId="0" borderId="12" xfId="0" applyBorder="1"/>
    <xf numFmtId="0" fontId="0" fillId="0" borderId="17" xfId="0" applyBorder="1"/>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4" xfId="0" applyBorder="1"/>
    <xf numFmtId="0" fontId="0" fillId="0" borderId="35" xfId="0" applyBorder="1"/>
    <xf numFmtId="0" fontId="0" fillId="0" borderId="36" xfId="0" applyBorder="1"/>
    <xf numFmtId="0" fontId="16" fillId="30" borderId="0" xfId="0" applyFont="1" applyFill="1" applyAlignment="1">
      <alignment horizontal="center"/>
    </xf>
    <xf numFmtId="0" fontId="5" fillId="17" borderId="0" xfId="0" applyFont="1" applyFill="1" applyBorder="1" applyAlignment="1">
      <alignment horizontal="center" vertical="center"/>
    </xf>
    <xf numFmtId="0" fontId="5" fillId="17" borderId="10" xfId="0" applyFont="1" applyFill="1" applyBorder="1" applyAlignment="1">
      <alignment horizontal="center" vertical="center"/>
    </xf>
    <xf numFmtId="0" fontId="5" fillId="17" borderId="18" xfId="0" applyFont="1" applyFill="1" applyBorder="1" applyAlignment="1">
      <alignment horizontal="center" vertical="center"/>
    </xf>
    <xf numFmtId="0" fontId="0" fillId="0" borderId="0" xfId="0" applyFill="1" applyBorder="1"/>
    <xf numFmtId="0" fontId="0" fillId="0" borderId="12" xfId="0" applyFill="1" applyBorder="1"/>
    <xf numFmtId="0" fontId="0" fillId="32" borderId="14" xfId="0" applyFill="1" applyBorder="1" applyAlignment="1">
      <alignment horizontal="center"/>
    </xf>
    <xf numFmtId="0" fontId="0" fillId="32" borderId="11" xfId="0" applyFill="1" applyBorder="1" applyAlignment="1">
      <alignment horizontal="center"/>
    </xf>
    <xf numFmtId="0" fontId="0" fillId="32" borderId="15" xfId="0" applyFill="1" applyBorder="1" applyAlignment="1">
      <alignment horizontal="center"/>
    </xf>
    <xf numFmtId="0" fontId="0" fillId="32" borderId="10" xfId="0" applyFill="1" applyBorder="1" applyAlignment="1">
      <alignment horizontal="center"/>
    </xf>
    <xf numFmtId="0" fontId="0" fillId="32" borderId="0" xfId="0" applyFill="1" applyBorder="1" applyAlignment="1">
      <alignment horizontal="center"/>
    </xf>
    <xf numFmtId="0" fontId="0" fillId="32" borderId="18" xfId="0" applyFill="1" applyBorder="1" applyAlignment="1">
      <alignment horizontal="center"/>
    </xf>
    <xf numFmtId="0" fontId="0" fillId="32" borderId="16" xfId="0" applyFill="1" applyBorder="1" applyAlignment="1">
      <alignment horizontal="center"/>
    </xf>
    <xf numFmtId="0" fontId="0" fillId="32" borderId="12" xfId="0" applyFill="1" applyBorder="1" applyAlignment="1">
      <alignment horizontal="center"/>
    </xf>
    <xf numFmtId="0" fontId="0" fillId="32" borderId="17" xfId="0" applyFill="1" applyBorder="1" applyAlignment="1">
      <alignment horizont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xf>
    <xf numFmtId="0" fontId="0" fillId="0" borderId="17" xfId="0" applyBorder="1" applyAlignment="1">
      <alignment horizontal="center"/>
    </xf>
    <xf numFmtId="0" fontId="0" fillId="0" borderId="0" xfId="0" applyFill="1" applyBorder="1" applyAlignment="1">
      <alignment horizontal="center" vertical="center"/>
    </xf>
    <xf numFmtId="0" fontId="0" fillId="0" borderId="12" xfId="0" applyFill="1" applyBorder="1" applyAlignment="1">
      <alignment horizontal="center" vertical="center"/>
    </xf>
    <xf numFmtId="10" fontId="0" fillId="7" borderId="0" xfId="1" applyNumberFormat="1" applyFont="1" applyFill="1" applyAlignment="1">
      <alignment horizontal="center" vertical="center"/>
    </xf>
    <xf numFmtId="10" fontId="0" fillId="26" borderId="0" xfId="1" applyNumberFormat="1" applyFont="1" applyFill="1" applyAlignment="1">
      <alignment horizontal="center" vertical="center"/>
    </xf>
    <xf numFmtId="0" fontId="0" fillId="32" borderId="14" xfId="0" applyFill="1" applyBorder="1" applyAlignment="1">
      <alignment horizontal="center" vertical="center"/>
    </xf>
    <xf numFmtId="0" fontId="0" fillId="32" borderId="11" xfId="0" applyFill="1" applyBorder="1" applyAlignment="1">
      <alignment horizontal="center" vertical="center"/>
    </xf>
    <xf numFmtId="0" fontId="0" fillId="32" borderId="15" xfId="0" applyFill="1" applyBorder="1" applyAlignment="1">
      <alignment horizontal="center" vertical="center"/>
    </xf>
    <xf numFmtId="0" fontId="0" fillId="32" borderId="10" xfId="0" applyFill="1" applyBorder="1" applyAlignment="1">
      <alignment horizontal="center" vertical="center"/>
    </xf>
    <xf numFmtId="0" fontId="0" fillId="32" borderId="0" xfId="0" applyFill="1" applyBorder="1" applyAlignment="1">
      <alignment horizontal="center" vertical="center"/>
    </xf>
    <xf numFmtId="0" fontId="0" fillId="32" borderId="18" xfId="0" applyFill="1" applyBorder="1" applyAlignment="1">
      <alignment horizontal="center" vertical="center"/>
    </xf>
    <xf numFmtId="0" fontId="0" fillId="32" borderId="16" xfId="0" applyFill="1" applyBorder="1" applyAlignment="1">
      <alignment horizontal="center" vertical="center"/>
    </xf>
    <xf numFmtId="0" fontId="0" fillId="32" borderId="12" xfId="0" applyFill="1" applyBorder="1" applyAlignment="1">
      <alignment horizontal="center" vertical="center"/>
    </xf>
    <xf numFmtId="0" fontId="0" fillId="32" borderId="17" xfId="0" applyFill="1" applyBorder="1" applyAlignment="1">
      <alignment horizontal="center" vertical="center"/>
    </xf>
    <xf numFmtId="0" fontId="0" fillId="0" borderId="17" xfId="0" applyBorder="1" applyAlignment="1">
      <alignment horizontal="center" vertical="center"/>
    </xf>
    <xf numFmtId="0" fontId="10" fillId="9" borderId="0" xfId="0" applyFont="1" applyFill="1" applyAlignment="1">
      <alignment horizontal="right"/>
    </xf>
    <xf numFmtId="0" fontId="0" fillId="33" borderId="17" xfId="0" applyFill="1" applyBorder="1"/>
    <xf numFmtId="0" fontId="0" fillId="33" borderId="14" xfId="0" applyFill="1" applyBorder="1"/>
    <xf numFmtId="0" fontId="0" fillId="33" borderId="15" xfId="0" applyFill="1" applyBorder="1"/>
    <xf numFmtId="0" fontId="0" fillId="33" borderId="16" xfId="0" applyFill="1" applyBorder="1"/>
    <xf numFmtId="2" fontId="0" fillId="26" borderId="35" xfId="0" applyNumberFormat="1" applyFill="1" applyBorder="1" applyAlignment="1">
      <alignment horizontal="center" vertical="center"/>
    </xf>
    <xf numFmtId="0" fontId="5" fillId="9" borderId="0" xfId="0" applyFont="1" applyFill="1" applyBorder="1" applyAlignment="1">
      <alignment horizontal="center"/>
    </xf>
    <xf numFmtId="0" fontId="0" fillId="10" borderId="10" xfId="0" applyFill="1" applyBorder="1" applyAlignment="1">
      <alignment horizontal="center" vertical="center"/>
    </xf>
    <xf numFmtId="0" fontId="0" fillId="10" borderId="16" xfId="0" applyFill="1" applyBorder="1" applyAlignment="1">
      <alignment horizontal="center" vertical="center"/>
    </xf>
    <xf numFmtId="0" fontId="5" fillId="9" borderId="19" xfId="0" applyFont="1" applyFill="1" applyBorder="1" applyAlignment="1">
      <alignment horizontal="center"/>
    </xf>
    <xf numFmtId="0" fontId="5" fillId="9" borderId="39" xfId="0" applyFont="1" applyFill="1" applyBorder="1" applyAlignment="1">
      <alignment horizontal="center"/>
    </xf>
    <xf numFmtId="0" fontId="0" fillId="0" borderId="19"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 xfId="0" applyBorder="1" applyAlignment="1">
      <alignment horizontal="center"/>
    </xf>
    <xf numFmtId="0" fontId="0" fillId="0" borderId="41" xfId="0" applyBorder="1" applyAlignment="1">
      <alignment horizontal="center"/>
    </xf>
    <xf numFmtId="0" fontId="10" fillId="15" borderId="0" xfId="0" applyFont="1" applyFill="1" applyAlignment="1">
      <alignment horizontal="center" vertical="center"/>
    </xf>
    <xf numFmtId="0" fontId="10" fillId="34" borderId="19" xfId="0" applyFont="1" applyFill="1" applyBorder="1" applyAlignment="1">
      <alignment horizontal="center" vertical="center"/>
    </xf>
    <xf numFmtId="0" fontId="10" fillId="34" borderId="0" xfId="0" applyFont="1" applyFill="1" applyBorder="1" applyAlignment="1">
      <alignment horizontal="center" vertical="center"/>
    </xf>
    <xf numFmtId="0" fontId="5" fillId="34" borderId="0" xfId="0" applyFont="1" applyFill="1" applyAlignment="1">
      <alignment horizontal="center" vertical="center"/>
    </xf>
    <xf numFmtId="0" fontId="5" fillId="17" borderId="0" xfId="0" applyFont="1" applyFill="1" applyAlignment="1">
      <alignment horizontal="center" vertical="center"/>
    </xf>
    <xf numFmtId="2" fontId="57" fillId="7" borderId="36" xfId="1" applyNumberFormat="1" applyFont="1" applyFill="1" applyBorder="1" applyAlignment="1">
      <alignment horizontal="center" vertical="center"/>
    </xf>
    <xf numFmtId="2" fontId="0" fillId="7" borderId="35" xfId="0" applyNumberFormat="1" applyFill="1" applyBorder="1" applyAlignment="1">
      <alignment horizontal="center" vertical="center"/>
    </xf>
    <xf numFmtId="2" fontId="0" fillId="7" borderId="36" xfId="0" applyNumberFormat="1" applyFill="1" applyBorder="1" applyAlignment="1">
      <alignment horizontal="center" vertical="center"/>
    </xf>
    <xf numFmtId="0" fontId="0" fillId="16" borderId="15" xfId="0" applyFill="1" applyBorder="1" applyAlignment="1">
      <alignment horizontal="center" vertical="center"/>
    </xf>
    <xf numFmtId="0" fontId="0" fillId="16" borderId="18" xfId="0" applyFill="1" applyBorder="1" applyAlignment="1">
      <alignment horizontal="center" vertical="center"/>
    </xf>
    <xf numFmtId="0" fontId="0" fillId="11" borderId="0" xfId="0" applyFill="1" applyAlignment="1">
      <alignment horizontal="center" vertical="center"/>
    </xf>
    <xf numFmtId="0" fontId="61" fillId="17" borderId="0" xfId="0" applyFont="1" applyFill="1"/>
    <xf numFmtId="0" fontId="62" fillId="17" borderId="0" xfId="0" applyFont="1" applyFill="1"/>
    <xf numFmtId="0" fontId="0" fillId="0" borderId="14" xfId="0" applyBorder="1" applyAlignment="1">
      <alignment horizontal="center" vertical="center"/>
    </xf>
    <xf numFmtId="0" fontId="0" fillId="33" borderId="14" xfId="0" applyFill="1" applyBorder="1" applyAlignment="1">
      <alignment horizontal="center" vertical="center"/>
    </xf>
    <xf numFmtId="0" fontId="0" fillId="33" borderId="11" xfId="0" applyFill="1" applyBorder="1" applyAlignment="1">
      <alignment horizontal="center" vertical="center"/>
    </xf>
    <xf numFmtId="0" fontId="0" fillId="33" borderId="10" xfId="0" applyFill="1" applyBorder="1" applyAlignment="1">
      <alignment horizontal="center" vertical="center"/>
    </xf>
    <xf numFmtId="0" fontId="0" fillId="33" borderId="0" xfId="0" applyFill="1" applyBorder="1" applyAlignment="1">
      <alignment horizontal="center" vertical="center"/>
    </xf>
    <xf numFmtId="0" fontId="0" fillId="33" borderId="16" xfId="0" applyFill="1" applyBorder="1" applyAlignment="1">
      <alignment horizontal="center" vertical="center"/>
    </xf>
    <xf numFmtId="0" fontId="0" fillId="33" borderId="12" xfId="0" applyFill="1" applyBorder="1" applyAlignment="1">
      <alignment horizontal="center" vertical="center"/>
    </xf>
    <xf numFmtId="0" fontId="0" fillId="0" borderId="39" xfId="0" applyBorder="1" applyAlignment="1">
      <alignment horizontal="center" vertical="center"/>
    </xf>
    <xf numFmtId="0" fontId="0" fillId="0" borderId="41" xfId="0" applyBorder="1" applyAlignment="1">
      <alignment horizontal="center" vertical="center"/>
    </xf>
    <xf numFmtId="0" fontId="0" fillId="0" borderId="37" xfId="0" applyBorder="1" applyAlignment="1">
      <alignment horizontal="center"/>
    </xf>
    <xf numFmtId="0" fontId="0" fillId="0" borderId="8" xfId="0" applyBorder="1" applyAlignment="1">
      <alignment horizontal="center"/>
    </xf>
    <xf numFmtId="2" fontId="0" fillId="0" borderId="8" xfId="0" applyNumberFormat="1" applyBorder="1" applyAlignment="1">
      <alignment horizontal="center" vertical="center"/>
    </xf>
    <xf numFmtId="0" fontId="0" fillId="0" borderId="8" xfId="0" applyBorder="1"/>
    <xf numFmtId="0" fontId="0" fillId="0" borderId="38" xfId="0" applyBorder="1" applyAlignment="1">
      <alignment horizontal="center" vertical="center"/>
    </xf>
    <xf numFmtId="10" fontId="0" fillId="8" borderId="0" xfId="1" applyNumberFormat="1" applyFont="1" applyFill="1" applyAlignment="1">
      <alignment horizontal="center" vertical="center"/>
    </xf>
    <xf numFmtId="10" fontId="0" fillId="0" borderId="1" xfId="1" applyNumberFormat="1" applyFont="1" applyBorder="1" applyAlignment="1">
      <alignment horizontal="center" vertical="center"/>
    </xf>
    <xf numFmtId="10" fontId="0" fillId="0" borderId="42" xfId="1" applyNumberFormat="1" applyFont="1" applyBorder="1" applyAlignment="1">
      <alignment horizontal="center" vertical="center"/>
    </xf>
    <xf numFmtId="0" fontId="26" fillId="0" borderId="0" xfId="0" applyFont="1" applyFill="1" applyBorder="1" applyAlignment="1">
      <alignment horizontal="left" vertical="center" wrapText="1"/>
    </xf>
    <xf numFmtId="0" fontId="40" fillId="15" borderId="0" xfId="0" applyFont="1" applyFill="1" applyBorder="1" applyAlignment="1">
      <alignment horizontal="left" vertical="center" wrapText="1"/>
    </xf>
    <xf numFmtId="0" fontId="5" fillId="15" borderId="0" xfId="0" applyFont="1" applyFill="1" applyBorder="1" applyAlignment="1">
      <alignment vertical="center"/>
    </xf>
    <xf numFmtId="0" fontId="0" fillId="0" borderId="0" xfId="0" applyFill="1" applyBorder="1" applyAlignment="1">
      <alignment vertical="center"/>
    </xf>
    <xf numFmtId="0" fontId="24" fillId="18" borderId="0" xfId="0" applyFont="1" applyFill="1" applyAlignment="1">
      <alignment vertical="center"/>
    </xf>
    <xf numFmtId="0" fontId="0" fillId="18" borderId="0" xfId="0" applyFill="1" applyAlignment="1">
      <alignment vertical="center" wrapText="1"/>
    </xf>
    <xf numFmtId="0" fontId="25" fillId="0" borderId="0" xfId="0" applyFont="1" applyAlignment="1">
      <alignment vertical="center"/>
    </xf>
    <xf numFmtId="0" fontId="26" fillId="18" borderId="0" xfId="0" applyFont="1" applyFill="1" applyAlignment="1">
      <alignment vertical="center"/>
    </xf>
    <xf numFmtId="2" fontId="63" fillId="18" borderId="0" xfId="0" applyNumberFormat="1" applyFont="1" applyFill="1" applyAlignment="1">
      <alignment horizontal="center" vertical="center"/>
    </xf>
    <xf numFmtId="2" fontId="64" fillId="18" borderId="0" xfId="0" applyNumberFormat="1" applyFont="1" applyFill="1" applyAlignment="1">
      <alignment horizontal="center" vertical="center"/>
    </xf>
    <xf numFmtId="0" fontId="25" fillId="0" borderId="0" xfId="0" applyFont="1" applyAlignment="1">
      <alignment horizontal="left" vertical="center"/>
    </xf>
    <xf numFmtId="1" fontId="25" fillId="18" borderId="0" xfId="0" applyNumberFormat="1" applyFont="1" applyFill="1" applyAlignment="1">
      <alignment horizontal="center" vertical="center"/>
    </xf>
    <xf numFmtId="9" fontId="25" fillId="18" borderId="0" xfId="1" applyFont="1" applyFill="1" applyAlignment="1">
      <alignment horizontal="center" vertical="center"/>
    </xf>
    <xf numFmtId="9" fontId="65" fillId="18" borderId="0" xfId="1" applyFont="1" applyFill="1" applyAlignment="1">
      <alignment horizontal="left" vertical="center"/>
    </xf>
    <xf numFmtId="9" fontId="33" fillId="18" borderId="0" xfId="1" applyFont="1" applyFill="1" applyAlignment="1">
      <alignment horizontal="left" vertical="center"/>
    </xf>
    <xf numFmtId="168" fontId="25" fillId="18" borderId="0" xfId="1" quotePrefix="1" applyNumberFormat="1" applyFont="1" applyFill="1" applyAlignment="1">
      <alignment horizontal="left" vertical="center"/>
    </xf>
    <xf numFmtId="0" fontId="25" fillId="18" borderId="12" xfId="0" applyFont="1" applyFill="1" applyBorder="1" applyAlignment="1">
      <alignment horizontal="right" vertical="center"/>
    </xf>
    <xf numFmtId="0" fontId="33" fillId="18" borderId="12" xfId="0" applyFont="1" applyFill="1" applyBorder="1" applyAlignment="1">
      <alignment horizontal="right" vertical="center"/>
    </xf>
    <xf numFmtId="0" fontId="65" fillId="18" borderId="12" xfId="0" applyFont="1" applyFill="1" applyBorder="1" applyAlignment="1">
      <alignment horizontal="right" vertical="center"/>
    </xf>
    <xf numFmtId="0" fontId="26" fillId="18" borderId="12" xfId="0" applyFont="1" applyFill="1" applyBorder="1" applyAlignment="1">
      <alignment horizontal="right" vertical="center"/>
    </xf>
    <xf numFmtId="1" fontId="25" fillId="18" borderId="0" xfId="0" applyNumberFormat="1" applyFont="1" applyFill="1" applyBorder="1" applyAlignment="1">
      <alignment horizontal="center" vertical="center"/>
    </xf>
    <xf numFmtId="168" fontId="25" fillId="18" borderId="0" xfId="1" applyNumberFormat="1" applyFont="1" applyFill="1" applyBorder="1" applyAlignment="1">
      <alignment horizontal="right" vertical="center"/>
    </xf>
    <xf numFmtId="168" fontId="33" fillId="18" borderId="0" xfId="1" applyNumberFormat="1" applyFont="1" applyFill="1" applyBorder="1" applyAlignment="1">
      <alignment horizontal="right" vertical="center"/>
    </xf>
    <xf numFmtId="168" fontId="65" fillId="18" borderId="0" xfId="1" applyNumberFormat="1" applyFont="1" applyFill="1" applyBorder="1" applyAlignment="1">
      <alignment horizontal="right" vertical="center"/>
    </xf>
    <xf numFmtId="168" fontId="26" fillId="18" borderId="0" xfId="1" applyNumberFormat="1" applyFont="1" applyFill="1" applyBorder="1" applyAlignment="1">
      <alignment horizontal="right" vertical="center"/>
    </xf>
    <xf numFmtId="1" fontId="25" fillId="18" borderId="12" xfId="0" applyNumberFormat="1" applyFont="1" applyFill="1" applyBorder="1" applyAlignment="1">
      <alignment horizontal="center" vertical="center"/>
    </xf>
    <xf numFmtId="168" fontId="25" fillId="18" borderId="12" xfId="1" applyNumberFormat="1" applyFont="1" applyFill="1" applyBorder="1" applyAlignment="1">
      <alignment horizontal="right" vertical="center"/>
    </xf>
    <xf numFmtId="168" fontId="33" fillId="18" borderId="12" xfId="1" applyNumberFormat="1" applyFont="1" applyFill="1" applyBorder="1" applyAlignment="1">
      <alignment horizontal="right" vertical="center"/>
    </xf>
    <xf numFmtId="168" fontId="65" fillId="18" borderId="12" xfId="1" applyNumberFormat="1" applyFont="1" applyFill="1" applyBorder="1" applyAlignment="1">
      <alignment horizontal="right" vertical="center"/>
    </xf>
    <xf numFmtId="168" fontId="26" fillId="18" borderId="12" xfId="1" applyNumberFormat="1" applyFont="1" applyFill="1" applyBorder="1" applyAlignment="1">
      <alignment horizontal="right" vertical="center"/>
    </xf>
    <xf numFmtId="1" fontId="25" fillId="18" borderId="0" xfId="0" applyNumberFormat="1" applyFont="1" applyFill="1" applyBorder="1" applyAlignment="1">
      <alignment horizontal="right" vertical="center" wrapText="1"/>
    </xf>
    <xf numFmtId="0" fontId="25" fillId="0" borderId="0" xfId="0" applyFont="1" applyFill="1" applyBorder="1" applyAlignment="1">
      <alignment horizontal="center" vertical="center"/>
    </xf>
    <xf numFmtId="1" fontId="25" fillId="18" borderId="0" xfId="0" applyNumberFormat="1" applyFont="1" applyFill="1" applyBorder="1" applyAlignment="1">
      <alignment horizontal="right" vertical="center"/>
    </xf>
    <xf numFmtId="177" fontId="33" fillId="18" borderId="0" xfId="5" applyNumberFormat="1" applyFont="1" applyFill="1" applyBorder="1" applyAlignment="1">
      <alignment horizontal="right" vertical="center"/>
    </xf>
    <xf numFmtId="177" fontId="65" fillId="18" borderId="0" xfId="5" applyNumberFormat="1" applyFont="1" applyFill="1" applyBorder="1" applyAlignment="1">
      <alignment horizontal="right" vertical="center"/>
    </xf>
    <xf numFmtId="177" fontId="26" fillId="18" borderId="0" xfId="5" applyNumberFormat="1" applyFont="1" applyFill="1" applyBorder="1" applyAlignment="1">
      <alignment horizontal="right" vertical="center"/>
    </xf>
    <xf numFmtId="1" fontId="66" fillId="18" borderId="0" xfId="0" applyNumberFormat="1" applyFont="1" applyFill="1" applyBorder="1" applyAlignment="1">
      <alignment horizontal="right" vertical="center" wrapText="1"/>
    </xf>
    <xf numFmtId="9" fontId="25" fillId="18" borderId="0" xfId="1" applyNumberFormat="1" applyFont="1" applyFill="1" applyBorder="1" applyAlignment="1">
      <alignment horizontal="center" vertical="center"/>
    </xf>
    <xf numFmtId="9" fontId="33" fillId="18" borderId="0" xfId="1" applyNumberFormat="1" applyFont="1" applyFill="1" applyBorder="1" applyAlignment="1">
      <alignment horizontal="center" vertical="center"/>
    </xf>
    <xf numFmtId="9" fontId="65" fillId="18" borderId="0" xfId="1" applyNumberFormat="1" applyFont="1" applyFill="1" applyBorder="1" applyAlignment="1">
      <alignment horizontal="center" vertical="center"/>
    </xf>
    <xf numFmtId="9" fontId="26" fillId="18" borderId="0" xfId="1" applyFont="1" applyFill="1" applyBorder="1" applyAlignment="1">
      <alignment horizontal="center" vertical="center"/>
    </xf>
    <xf numFmtId="1" fontId="25" fillId="0" borderId="0" xfId="0" applyNumberFormat="1" applyFont="1" applyFill="1" applyBorder="1" applyAlignment="1">
      <alignment horizontal="center" vertical="center" wrapText="1"/>
    </xf>
    <xf numFmtId="176" fontId="33" fillId="0" borderId="0" xfId="1" applyNumberFormat="1" applyFont="1" applyFill="1" applyBorder="1" applyAlignment="1">
      <alignment horizontal="center" vertical="center"/>
    </xf>
    <xf numFmtId="176" fontId="65" fillId="0" borderId="0" xfId="1" applyNumberFormat="1" applyFont="1" applyFill="1" applyBorder="1" applyAlignment="1">
      <alignment horizontal="center" vertical="center"/>
    </xf>
    <xf numFmtId="176" fontId="26" fillId="0" borderId="0" xfId="1" quotePrefix="1" applyNumberFormat="1" applyFont="1" applyFill="1" applyBorder="1" applyAlignment="1">
      <alignment horizontal="center" vertical="center"/>
    </xf>
    <xf numFmtId="178" fontId="0" fillId="0" borderId="0" xfId="5" applyNumberFormat="1" applyFont="1" applyFill="1"/>
    <xf numFmtId="0" fontId="25" fillId="0" borderId="14" xfId="0" applyFont="1" applyBorder="1" applyAlignment="1">
      <alignment vertical="center"/>
    </xf>
    <xf numFmtId="0" fontId="25" fillId="0" borderId="11" xfId="0" applyFont="1" applyBorder="1" applyAlignment="1">
      <alignment vertical="center"/>
    </xf>
    <xf numFmtId="0" fontId="25" fillId="0" borderId="15" xfId="0" applyFont="1" applyBorder="1" applyAlignment="1">
      <alignment vertical="center"/>
    </xf>
    <xf numFmtId="0" fontId="25" fillId="0" borderId="10" xfId="0" applyFont="1" applyFill="1" applyBorder="1" applyAlignment="1">
      <alignment vertical="center"/>
    </xf>
    <xf numFmtId="0" fontId="25" fillId="0" borderId="18" xfId="0" applyFont="1" applyFill="1" applyBorder="1" applyAlignment="1">
      <alignment vertical="center"/>
    </xf>
    <xf numFmtId="0" fontId="25" fillId="0" borderId="16" xfId="0" applyFont="1" applyBorder="1" applyAlignment="1">
      <alignment vertical="center"/>
    </xf>
    <xf numFmtId="0" fontId="25" fillId="0" borderId="12" xfId="0" applyFont="1" applyBorder="1" applyAlignment="1">
      <alignment vertical="center"/>
    </xf>
    <xf numFmtId="0" fontId="25" fillId="0" borderId="17" xfId="0" applyFont="1" applyBorder="1" applyAlignment="1">
      <alignment vertical="center"/>
    </xf>
    <xf numFmtId="0" fontId="24" fillId="18" borderId="0" xfId="0" applyFont="1" applyFill="1" applyBorder="1" applyAlignment="1">
      <alignment vertical="center"/>
    </xf>
    <xf numFmtId="176" fontId="33" fillId="18" borderId="0" xfId="1" applyNumberFormat="1" applyFont="1" applyFill="1" applyBorder="1" applyAlignment="1">
      <alignment horizontal="center" vertical="center"/>
    </xf>
    <xf numFmtId="176" fontId="65" fillId="18" borderId="0" xfId="1" applyNumberFormat="1" applyFont="1" applyFill="1" applyBorder="1" applyAlignment="1">
      <alignment horizontal="center" vertical="center"/>
    </xf>
    <xf numFmtId="176" fontId="26" fillId="18" borderId="0" xfId="1" quotePrefix="1" applyNumberFormat="1" applyFont="1" applyFill="1" applyBorder="1" applyAlignment="1">
      <alignment horizontal="center" vertical="center"/>
    </xf>
    <xf numFmtId="0" fontId="40" fillId="9" borderId="0" xfId="0" applyFont="1" applyFill="1" applyBorder="1" applyAlignment="1">
      <alignment horizontal="center" vertical="center"/>
    </xf>
    <xf numFmtId="0" fontId="25" fillId="7" borderId="0" xfId="0" applyFont="1" applyFill="1" applyBorder="1" applyAlignment="1">
      <alignment horizontal="center" vertical="center"/>
    </xf>
    <xf numFmtId="176" fontId="26" fillId="18" borderId="0" xfId="1" quotePrefix="1" applyNumberFormat="1" applyFont="1" applyFill="1" applyBorder="1" applyAlignment="1">
      <alignment horizontal="left" vertical="center"/>
    </xf>
    <xf numFmtId="1" fontId="25" fillId="18" borderId="0" xfId="0" applyNumberFormat="1" applyFont="1" applyFill="1" applyBorder="1" applyAlignment="1">
      <alignment horizontal="center" vertical="center" wrapText="1"/>
    </xf>
    <xf numFmtId="176" fontId="33" fillId="18" borderId="12" xfId="1" applyNumberFormat="1" applyFont="1" applyFill="1" applyBorder="1" applyAlignment="1">
      <alignment horizontal="center" vertical="center"/>
    </xf>
    <xf numFmtId="176" fontId="65" fillId="18" borderId="12" xfId="1" applyNumberFormat="1" applyFont="1" applyFill="1" applyBorder="1" applyAlignment="1">
      <alignment horizontal="center" vertical="center"/>
    </xf>
    <xf numFmtId="176" fontId="26" fillId="18" borderId="12" xfId="1" quotePrefix="1" applyNumberFormat="1" applyFont="1" applyFill="1" applyBorder="1" applyAlignment="1">
      <alignment horizontal="center" vertical="center"/>
    </xf>
    <xf numFmtId="1" fontId="25" fillId="18" borderId="0" xfId="0" applyNumberFormat="1" applyFont="1" applyFill="1" applyBorder="1" applyAlignment="1">
      <alignment horizontal="center" wrapText="1"/>
    </xf>
    <xf numFmtId="0" fontId="25" fillId="18" borderId="0" xfId="0" applyFont="1" applyFill="1" applyBorder="1" applyAlignment="1"/>
    <xf numFmtId="2" fontId="33" fillId="18" borderId="0" xfId="1" applyNumberFormat="1" applyFont="1" applyFill="1" applyBorder="1" applyAlignment="1">
      <alignment horizontal="center"/>
    </xf>
    <xf numFmtId="2" fontId="65" fillId="18" borderId="0" xfId="1" applyNumberFormat="1" applyFont="1" applyFill="1" applyBorder="1" applyAlignment="1">
      <alignment horizontal="center"/>
    </xf>
    <xf numFmtId="2" fontId="26" fillId="18" borderId="0" xfId="1" applyNumberFormat="1" applyFont="1" applyFill="1" applyBorder="1" applyAlignment="1">
      <alignment horizontal="center"/>
    </xf>
    <xf numFmtId="2" fontId="26" fillId="18" borderId="0" xfId="1" quotePrefix="1" applyNumberFormat="1" applyFont="1" applyFill="1" applyBorder="1" applyAlignment="1">
      <alignment horizontal="center"/>
    </xf>
    <xf numFmtId="9" fontId="33" fillId="18" borderId="0" xfId="1" applyFont="1" applyFill="1" applyBorder="1" applyAlignment="1">
      <alignment horizontal="center" vertical="center"/>
    </xf>
    <xf numFmtId="9" fontId="65" fillId="18" borderId="0" xfId="1" applyFont="1" applyFill="1" applyBorder="1" applyAlignment="1">
      <alignment horizontal="center" vertical="center"/>
    </xf>
    <xf numFmtId="176" fontId="69" fillId="18" borderId="0" xfId="1" quotePrefix="1" applyNumberFormat="1" applyFont="1" applyFill="1" applyBorder="1" applyAlignment="1">
      <alignment horizontal="center" vertical="center" shrinkToFit="1"/>
    </xf>
    <xf numFmtId="176" fontId="33" fillId="18" borderId="0" xfId="1" quotePrefix="1" applyNumberFormat="1" applyFont="1" applyFill="1" applyBorder="1" applyAlignment="1">
      <alignment horizontal="center" vertical="center"/>
    </xf>
    <xf numFmtId="176" fontId="26" fillId="18" borderId="0" xfId="1" applyNumberFormat="1" applyFont="1" applyFill="1" applyBorder="1" applyAlignment="1">
      <alignment horizontal="center" vertical="center"/>
    </xf>
    <xf numFmtId="176" fontId="26" fillId="0" borderId="0" xfId="1" quotePrefix="1" applyNumberFormat="1" applyFont="1" applyFill="1" applyBorder="1" applyAlignment="1">
      <alignment horizontal="left" vertical="center"/>
    </xf>
    <xf numFmtId="1" fontId="25" fillId="0" borderId="0" xfId="0" applyNumberFormat="1" applyFont="1" applyFill="1" applyBorder="1" applyAlignment="1">
      <alignment horizontal="center" vertical="center"/>
    </xf>
    <xf numFmtId="9" fontId="25" fillId="0" borderId="0" xfId="1" applyFont="1" applyFill="1" applyBorder="1" applyAlignment="1">
      <alignment horizontal="center" vertical="center"/>
    </xf>
    <xf numFmtId="0" fontId="45" fillId="15" borderId="0" xfId="0" applyFont="1" applyFill="1" applyAlignment="1">
      <alignment vertical="center"/>
    </xf>
    <xf numFmtId="0" fontId="24" fillId="0" borderId="0" xfId="0" applyFont="1" applyAlignment="1">
      <alignment vertical="center"/>
    </xf>
    <xf numFmtId="0" fontId="30" fillId="0" borderId="0" xfId="0" applyFont="1" applyFill="1" applyBorder="1" applyAlignment="1">
      <alignment vertical="center"/>
    </xf>
    <xf numFmtId="0" fontId="26" fillId="0" borderId="0" xfId="0" quotePrefix="1" applyFont="1" applyAlignment="1">
      <alignment horizontal="left" vertical="center"/>
    </xf>
    <xf numFmtId="0" fontId="26" fillId="0" borderId="0" xfId="0" applyFont="1" applyAlignment="1">
      <alignment vertical="center"/>
    </xf>
    <xf numFmtId="0" fontId="47" fillId="0" borderId="0" xfId="0" applyFont="1" applyAlignment="1">
      <alignment vertical="center"/>
    </xf>
    <xf numFmtId="0" fontId="26" fillId="0" borderId="0" xfId="0" quotePrefix="1" applyFont="1" applyFill="1" applyAlignment="1">
      <alignment horizontal="left" vertical="center" wrapText="1"/>
    </xf>
    <xf numFmtId="0" fontId="26" fillId="0" borderId="0" xfId="0" quotePrefix="1" applyFont="1" applyAlignment="1">
      <alignment horizontal="left" vertical="center" wrapText="1"/>
    </xf>
    <xf numFmtId="0" fontId="26" fillId="0" borderId="0" xfId="0" applyFont="1" applyAlignment="1">
      <alignment horizontal="left" vertical="center" wrapText="1"/>
    </xf>
    <xf numFmtId="0" fontId="72" fillId="18" borderId="0" xfId="0" applyFont="1" applyFill="1" applyAlignment="1">
      <alignment vertical="center"/>
    </xf>
    <xf numFmtId="0" fontId="73" fillId="18" borderId="0" xfId="0" applyFont="1" applyFill="1" applyBorder="1" applyAlignment="1">
      <alignment vertical="center"/>
    </xf>
    <xf numFmtId="0" fontId="74" fillId="18" borderId="0" xfId="0" applyFont="1" applyFill="1" applyBorder="1" applyAlignment="1">
      <alignment vertical="center"/>
    </xf>
    <xf numFmtId="0" fontId="25" fillId="18" borderId="12" xfId="0" applyFont="1" applyFill="1" applyBorder="1" applyAlignment="1">
      <alignment horizontal="center"/>
    </xf>
    <xf numFmtId="0" fontId="25" fillId="18" borderId="12" xfId="0" applyFont="1" applyFill="1" applyBorder="1" applyAlignment="1">
      <alignment horizontal="center" wrapText="1"/>
    </xf>
    <xf numFmtId="0" fontId="25" fillId="18" borderId="12" xfId="0" quotePrefix="1" applyFont="1" applyFill="1" applyBorder="1" applyAlignment="1">
      <alignment horizontal="center" wrapText="1"/>
    </xf>
    <xf numFmtId="0" fontId="25" fillId="0" borderId="0" xfId="0" applyFont="1" applyBorder="1" applyAlignment="1">
      <alignment horizontal="center" vertical="center"/>
    </xf>
    <xf numFmtId="179" fontId="26" fillId="18" borderId="0" xfId="0" applyNumberFormat="1" applyFont="1" applyFill="1" applyAlignment="1">
      <alignment horizontal="left"/>
    </xf>
    <xf numFmtId="4" fontId="47" fillId="18" borderId="0" xfId="0" applyNumberFormat="1" applyFont="1" applyFill="1"/>
    <xf numFmtId="168" fontId="47" fillId="18" borderId="0" xfId="0" applyNumberFormat="1" applyFont="1" applyFill="1"/>
    <xf numFmtId="180" fontId="29" fillId="18" borderId="0" xfId="0" applyNumberFormat="1" applyFont="1" applyFill="1"/>
    <xf numFmtId="168" fontId="29" fillId="18" borderId="0" xfId="0" applyNumberFormat="1" applyFont="1" applyFill="1"/>
    <xf numFmtId="179" fontId="25" fillId="0" borderId="0" xfId="0" applyNumberFormat="1" applyFont="1" applyBorder="1" applyAlignment="1">
      <alignment vertical="center"/>
    </xf>
    <xf numFmtId="0" fontId="6" fillId="7" borderId="14" xfId="0" applyFont="1" applyFill="1" applyBorder="1"/>
    <xf numFmtId="0" fontId="0" fillId="7" borderId="11" xfId="0" applyFill="1" applyBorder="1"/>
    <xf numFmtId="0" fontId="0" fillId="7" borderId="15" xfId="0" applyFill="1" applyBorder="1"/>
    <xf numFmtId="0" fontId="6" fillId="7" borderId="16" xfId="0" applyFont="1" applyFill="1" applyBorder="1"/>
    <xf numFmtId="0" fontId="6" fillId="7" borderId="12" xfId="0" applyFont="1" applyFill="1" applyBorder="1"/>
    <xf numFmtId="0" fontId="6" fillId="7" borderId="17" xfId="0" applyFont="1" applyFill="1" applyBorder="1"/>
    <xf numFmtId="10" fontId="47" fillId="18" borderId="0" xfId="0" applyNumberFormat="1" applyFont="1" applyFill="1" applyAlignment="1">
      <alignment horizontal="right"/>
    </xf>
    <xf numFmtId="10" fontId="29" fillId="18" borderId="0" xfId="0" applyNumberFormat="1" applyFont="1" applyFill="1" applyAlignment="1">
      <alignment horizontal="right"/>
    </xf>
    <xf numFmtId="17" fontId="31" fillId="18" borderId="0" xfId="0" applyNumberFormat="1" applyFont="1" applyFill="1" applyAlignment="1">
      <alignment horizontal="right" vertical="center"/>
    </xf>
    <xf numFmtId="177" fontId="25" fillId="18" borderId="0" xfId="5" applyNumberFormat="1" applyFont="1" applyFill="1" applyAlignment="1">
      <alignment vertical="center"/>
    </xf>
    <xf numFmtId="168" fontId="25" fillId="18" borderId="0" xfId="1" applyNumberFormat="1" applyFont="1" applyFill="1" applyAlignment="1">
      <alignment vertical="center"/>
    </xf>
    <xf numFmtId="172" fontId="29" fillId="18" borderId="0" xfId="0" applyNumberFormat="1" applyFont="1" applyFill="1" applyAlignment="1">
      <alignment vertical="center"/>
    </xf>
    <xf numFmtId="168" fontId="29" fillId="18" borderId="0" xfId="1" applyNumberFormat="1" applyFont="1" applyFill="1" applyAlignment="1">
      <alignment vertical="center"/>
    </xf>
    <xf numFmtId="17" fontId="75" fillId="0" borderId="0" xfId="0" applyNumberFormat="1" applyFont="1" applyBorder="1" applyAlignment="1">
      <alignment horizontal="right" vertical="center"/>
    </xf>
    <xf numFmtId="179" fontId="76" fillId="18" borderId="0" xfId="0" applyNumberFormat="1" applyFont="1" applyFill="1" applyAlignment="1">
      <alignment vertical="center"/>
    </xf>
    <xf numFmtId="179" fontId="25" fillId="18" borderId="0" xfId="0" applyNumberFormat="1" applyFont="1" applyFill="1" applyAlignment="1">
      <alignment vertical="center"/>
    </xf>
    <xf numFmtId="0" fontId="29" fillId="18" borderId="0" xfId="0" applyFont="1" applyFill="1" applyAlignment="1">
      <alignment vertical="center"/>
    </xf>
    <xf numFmtId="168" fontId="25" fillId="0" borderId="0" xfId="0" quotePrefix="1" applyNumberFormat="1" applyFont="1" applyFill="1" applyAlignment="1">
      <alignment vertical="center"/>
    </xf>
    <xf numFmtId="0" fontId="0" fillId="21" borderId="14" xfId="0" applyFill="1" applyBorder="1"/>
    <xf numFmtId="0" fontId="0" fillId="21" borderId="11" xfId="0" applyFill="1" applyBorder="1"/>
    <xf numFmtId="0" fontId="0" fillId="21" borderId="15" xfId="0" applyFill="1" applyBorder="1"/>
    <xf numFmtId="0" fontId="0" fillId="21" borderId="10" xfId="0" applyFill="1" applyBorder="1"/>
    <xf numFmtId="0" fontId="0" fillId="21" borderId="0" xfId="0" applyFill="1" applyBorder="1"/>
    <xf numFmtId="0" fontId="0" fillId="21" borderId="18" xfId="0" applyFill="1" applyBorder="1"/>
    <xf numFmtId="168" fontId="25" fillId="0" borderId="0" xfId="1" quotePrefix="1" applyNumberFormat="1" applyFont="1" applyFill="1" applyAlignment="1">
      <alignment vertical="center"/>
    </xf>
    <xf numFmtId="0" fontId="21" fillId="21" borderId="43" xfId="0" applyFont="1" applyFill="1" applyBorder="1" applyAlignment="1">
      <alignment horizontal="centerContinuous"/>
    </xf>
    <xf numFmtId="0" fontId="21" fillId="21" borderId="13" xfId="0" applyFont="1" applyFill="1" applyBorder="1" applyAlignment="1">
      <alignment horizontal="centerContinuous"/>
    </xf>
    <xf numFmtId="0" fontId="0" fillId="21" borderId="10" xfId="0" applyFill="1" applyBorder="1" applyAlignment="1"/>
    <xf numFmtId="0" fontId="0" fillId="21" borderId="0" xfId="0" applyFill="1" applyBorder="1" applyAlignment="1"/>
    <xf numFmtId="0" fontId="25" fillId="18" borderId="0" xfId="0" quotePrefix="1" applyFont="1" applyFill="1" applyAlignment="1">
      <alignment horizontal="left" vertical="center"/>
    </xf>
    <xf numFmtId="181" fontId="25" fillId="0" borderId="0" xfId="1" quotePrefix="1" applyNumberFormat="1" applyFont="1" applyFill="1" applyAlignment="1">
      <alignment vertical="center"/>
    </xf>
    <xf numFmtId="1" fontId="25" fillId="18" borderId="0" xfId="0" applyNumberFormat="1" applyFont="1" applyFill="1" applyBorder="1" applyAlignment="1">
      <alignment horizontal="left" vertical="center"/>
    </xf>
    <xf numFmtId="0" fontId="0" fillId="21" borderId="16" xfId="0" applyFill="1" applyBorder="1" applyAlignment="1"/>
    <xf numFmtId="0" fontId="0" fillId="21" borderId="12" xfId="0" applyFill="1" applyBorder="1" applyAlignment="1"/>
    <xf numFmtId="182" fontId="25" fillId="0" borderId="0" xfId="1" quotePrefix="1" applyNumberFormat="1" applyFont="1" applyFill="1" applyAlignment="1">
      <alignment vertical="center"/>
    </xf>
    <xf numFmtId="0" fontId="21" fillId="21" borderId="43" xfId="0" applyFont="1" applyFill="1" applyBorder="1" applyAlignment="1">
      <alignment horizontal="center"/>
    </xf>
    <xf numFmtId="0" fontId="21" fillId="21" borderId="13" xfId="0" applyFont="1" applyFill="1" applyBorder="1" applyAlignment="1">
      <alignment horizontal="center"/>
    </xf>
    <xf numFmtId="0" fontId="21" fillId="21" borderId="44" xfId="0" applyFont="1" applyFill="1" applyBorder="1" applyAlignment="1">
      <alignment horizontal="center"/>
    </xf>
    <xf numFmtId="0" fontId="0" fillId="21" borderId="18" xfId="0" applyFill="1" applyBorder="1" applyAlignment="1"/>
    <xf numFmtId="0" fontId="0" fillId="7" borderId="12" xfId="0" applyFill="1" applyBorder="1" applyAlignment="1"/>
    <xf numFmtId="0" fontId="0" fillId="21" borderId="17" xfId="0" applyFill="1" applyBorder="1" applyAlignment="1"/>
    <xf numFmtId="0" fontId="0" fillId="21" borderId="16" xfId="0" applyFill="1" applyBorder="1"/>
    <xf numFmtId="0" fontId="0" fillId="21" borderId="12" xfId="0" applyFill="1" applyBorder="1"/>
    <xf numFmtId="0" fontId="0" fillId="21" borderId="17" xfId="0" applyFill="1" applyBorder="1"/>
    <xf numFmtId="0" fontId="0" fillId="33" borderId="0" xfId="0" applyFill="1" applyBorder="1" applyAlignment="1"/>
    <xf numFmtId="168" fontId="47" fillId="18" borderId="45" xfId="0" applyNumberFormat="1" applyFont="1" applyFill="1" applyBorder="1" applyAlignment="1">
      <alignment horizontal="right" vertical="center"/>
    </xf>
    <xf numFmtId="168" fontId="47" fillId="18" borderId="46" xfId="0" applyNumberFormat="1" applyFont="1" applyFill="1" applyBorder="1" applyAlignment="1">
      <alignment horizontal="right" vertical="center"/>
    </xf>
    <xf numFmtId="168" fontId="47" fillId="18" borderId="46" xfId="1" applyNumberFormat="1" applyFont="1" applyFill="1" applyBorder="1" applyAlignment="1">
      <alignment horizontal="right" vertical="center"/>
    </xf>
    <xf numFmtId="168" fontId="47" fillId="18" borderId="47" xfId="1" applyNumberFormat="1" applyFont="1" applyFill="1" applyBorder="1" applyAlignment="1">
      <alignment horizontal="right" vertical="center"/>
    </xf>
    <xf numFmtId="168" fontId="29" fillId="18" borderId="45" xfId="0" quotePrefix="1" applyNumberFormat="1" applyFont="1" applyFill="1" applyBorder="1" applyAlignment="1">
      <alignment vertical="center"/>
    </xf>
    <xf numFmtId="168" fontId="29" fillId="18" borderId="46" xfId="0" quotePrefix="1" applyNumberFormat="1" applyFont="1" applyFill="1" applyBorder="1" applyAlignment="1">
      <alignment vertical="center"/>
    </xf>
    <xf numFmtId="168" fontId="29" fillId="18" borderId="46" xfId="1" quotePrefix="1" applyNumberFormat="1" applyFont="1" applyFill="1" applyBorder="1" applyAlignment="1">
      <alignment vertical="center"/>
    </xf>
    <xf numFmtId="173" fontId="29" fillId="18" borderId="46" xfId="1" applyNumberFormat="1" applyFont="1" applyFill="1" applyBorder="1" applyAlignment="1">
      <alignment horizontal="right" vertical="center"/>
    </xf>
    <xf numFmtId="173" fontId="29" fillId="7" borderId="46" xfId="1" applyNumberFormat="1" applyFont="1" applyFill="1" applyBorder="1" applyAlignment="1">
      <alignment horizontal="right" vertical="center"/>
    </xf>
    <xf numFmtId="2" fontId="29" fillId="18" borderId="46" xfId="1" applyNumberFormat="1" applyFont="1" applyFill="1" applyBorder="1" applyAlignment="1">
      <alignment horizontal="right" vertical="center"/>
    </xf>
    <xf numFmtId="173" fontId="29" fillId="33" borderId="46" xfId="1" applyNumberFormat="1" applyFont="1" applyFill="1" applyBorder="1" applyAlignment="1">
      <alignment horizontal="right" vertical="center"/>
    </xf>
    <xf numFmtId="0" fontId="0" fillId="7" borderId="0" xfId="0" applyFill="1" applyAlignment="1">
      <alignment horizontal="center" vertical="center"/>
    </xf>
    <xf numFmtId="0" fontId="0" fillId="0" borderId="45" xfId="0" applyBorder="1"/>
    <xf numFmtId="0" fontId="0" fillId="0" borderId="46" xfId="0" applyBorder="1"/>
    <xf numFmtId="0" fontId="0" fillId="0" borderId="47" xfId="0" applyBorder="1"/>
    <xf numFmtId="0" fontId="0" fillId="0" borderId="5" xfId="0" applyBorder="1" applyAlignment="1">
      <alignment horizontal="center" vertical="center"/>
    </xf>
    <xf numFmtId="0" fontId="0" fillId="16" borderId="0" xfId="0" applyFill="1" applyAlignment="1">
      <alignment horizontal="center" vertical="center"/>
    </xf>
    <xf numFmtId="0" fontId="17" fillId="37" borderId="37" xfId="0" applyFont="1" applyFill="1" applyBorder="1" applyAlignment="1">
      <alignment horizontal="center"/>
    </xf>
    <xf numFmtId="0" fontId="17" fillId="37" borderId="38" xfId="0" applyFont="1" applyFill="1" applyBorder="1" applyAlignment="1">
      <alignment horizontal="center"/>
    </xf>
    <xf numFmtId="0" fontId="0" fillId="0" borderId="19" xfId="0" applyBorder="1" applyAlignment="1">
      <alignment horizontal="center" vertical="center"/>
    </xf>
    <xf numFmtId="0" fontId="0" fillId="0" borderId="40" xfId="0" applyBorder="1" applyAlignment="1">
      <alignment horizontal="center" vertical="center"/>
    </xf>
    <xf numFmtId="0" fontId="0" fillId="0" borderId="19" xfId="0" applyBorder="1"/>
    <xf numFmtId="0" fontId="0" fillId="0" borderId="39" xfId="0" applyBorder="1"/>
    <xf numFmtId="0" fontId="0" fillId="0" borderId="40" xfId="0" applyBorder="1"/>
    <xf numFmtId="0" fontId="0" fillId="0" borderId="41" xfId="0" applyBorder="1"/>
    <xf numFmtId="0" fontId="0" fillId="35" borderId="37" xfId="0" applyFill="1" applyBorder="1"/>
    <xf numFmtId="0" fontId="0" fillId="35" borderId="38" xfId="0" applyFill="1" applyBorder="1"/>
    <xf numFmtId="0" fontId="17" fillId="0" borderId="10" xfId="0" applyFont="1" applyBorder="1" applyAlignment="1">
      <alignment horizontal="left" vertical="center" indent="2"/>
    </xf>
    <xf numFmtId="0" fontId="17" fillId="0" borderId="0" xfId="0" applyFont="1" applyAlignment="1">
      <alignment horizontal="left" vertical="center" indent="2"/>
    </xf>
    <xf numFmtId="0" fontId="18" fillId="0" borderId="0" xfId="0" applyFont="1" applyBorder="1" applyAlignment="1">
      <alignment horizontal="left" vertical="center" indent="2"/>
    </xf>
    <xf numFmtId="0" fontId="18" fillId="0" borderId="0" xfId="0" applyFont="1" applyAlignment="1">
      <alignment horizontal="left" vertical="center" indent="2"/>
    </xf>
    <xf numFmtId="0" fontId="10" fillId="17" borderId="0" xfId="0" applyFont="1" applyFill="1" applyAlignment="1">
      <alignment horizontal="center"/>
    </xf>
    <xf numFmtId="0" fontId="52" fillId="0" borderId="10" xfId="0" applyFont="1" applyBorder="1" applyAlignment="1">
      <alignment horizontal="left" vertical="center" indent="2"/>
    </xf>
    <xf numFmtId="0" fontId="52" fillId="0" borderId="0" xfId="0" applyFont="1" applyAlignment="1">
      <alignment horizontal="left" vertical="center" indent="2"/>
    </xf>
    <xf numFmtId="0" fontId="79" fillId="36" borderId="14" xfId="0" applyFont="1" applyFill="1" applyBorder="1" applyAlignment="1">
      <alignment horizontal="center" vertical="center"/>
    </xf>
    <xf numFmtId="0" fontId="79" fillId="36" borderId="15" xfId="0" applyFont="1" applyFill="1" applyBorder="1" applyAlignment="1">
      <alignment horizontal="center" vertical="center"/>
    </xf>
    <xf numFmtId="0" fontId="5" fillId="9" borderId="0" xfId="0" applyFont="1" applyFill="1" applyAlignment="1">
      <alignment horizontal="center"/>
    </xf>
    <xf numFmtId="0" fontId="5" fillId="9" borderId="14" xfId="0" applyFont="1" applyFill="1" applyBorder="1" applyAlignment="1">
      <alignment horizontal="center"/>
    </xf>
    <xf numFmtId="0" fontId="5" fillId="9" borderId="11" xfId="0" applyFont="1" applyFill="1" applyBorder="1" applyAlignment="1">
      <alignment horizontal="center"/>
    </xf>
    <xf numFmtId="0" fontId="5" fillId="9" borderId="15" xfId="0" applyFont="1" applyFill="1" applyBorder="1" applyAlignment="1">
      <alignment horizontal="center"/>
    </xf>
    <xf numFmtId="0" fontId="10" fillId="9" borderId="37"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38" xfId="0" applyFont="1" applyFill="1" applyBorder="1" applyAlignment="1">
      <alignment horizontal="center" vertical="center"/>
    </xf>
    <xf numFmtId="0" fontId="62" fillId="15" borderId="0" xfId="0" applyFont="1" applyFill="1" applyAlignment="1">
      <alignment horizontal="center"/>
    </xf>
    <xf numFmtId="10" fontId="26" fillId="0" borderId="0" xfId="1" applyNumberFormat="1" applyFont="1" applyFill="1" applyBorder="1" applyAlignment="1">
      <alignment horizontal="left" wrapText="1"/>
    </xf>
    <xf numFmtId="10" fontId="26" fillId="0" borderId="39" xfId="1" applyNumberFormat="1" applyFont="1" applyFill="1" applyBorder="1" applyAlignment="1">
      <alignment horizontal="left" wrapText="1"/>
    </xf>
    <xf numFmtId="176" fontId="69" fillId="0" borderId="0" xfId="1" quotePrefix="1" applyNumberFormat="1" applyFont="1" applyFill="1" applyBorder="1" applyAlignment="1">
      <alignment horizontal="left" vertical="center" shrinkToFit="1"/>
    </xf>
    <xf numFmtId="176" fontId="26" fillId="0" borderId="0" xfId="1" quotePrefix="1" applyNumberFormat="1" applyFont="1" applyFill="1" applyBorder="1" applyAlignment="1">
      <alignment horizontal="left" vertical="center"/>
    </xf>
    <xf numFmtId="0" fontId="26" fillId="0" borderId="0" xfId="0" quotePrefix="1" applyFont="1" applyFill="1" applyAlignment="1">
      <alignment horizontal="left" vertical="center" wrapText="1"/>
    </xf>
    <xf numFmtId="0" fontId="26" fillId="0" borderId="0" xfId="0" applyFont="1" applyAlignment="1">
      <alignment horizontal="left" vertical="center" wrapText="1"/>
    </xf>
    <xf numFmtId="0" fontId="26" fillId="0" borderId="0" xfId="0" quotePrefix="1" applyFont="1" applyAlignment="1">
      <alignment horizontal="left" vertical="center" wrapText="1"/>
    </xf>
    <xf numFmtId="0" fontId="39" fillId="9" borderId="0" xfId="0" applyFont="1" applyFill="1" applyAlignment="1">
      <alignment horizontal="center" vertical="center"/>
    </xf>
    <xf numFmtId="0" fontId="39" fillId="9" borderId="0" xfId="0" quotePrefix="1" applyFont="1" applyFill="1" applyAlignment="1">
      <alignment horizontal="center" vertical="center"/>
    </xf>
    <xf numFmtId="0" fontId="26" fillId="0" borderId="0" xfId="0" applyFont="1" applyFill="1" applyBorder="1" applyAlignment="1">
      <alignment horizontal="left" vertical="center" wrapText="1"/>
    </xf>
    <xf numFmtId="0" fontId="25" fillId="18" borderId="12" xfId="0" applyFont="1" applyFill="1" applyBorder="1" applyAlignment="1">
      <alignment horizontal="center" vertical="center"/>
    </xf>
    <xf numFmtId="1" fontId="42" fillId="18" borderId="0" xfId="0" applyNumberFormat="1" applyFont="1" applyFill="1" applyBorder="1" applyAlignment="1">
      <alignment horizontal="left" vertical="center" wrapText="1"/>
    </xf>
    <xf numFmtId="1" fontId="26" fillId="0" borderId="0" xfId="0" applyNumberFormat="1" applyFont="1" applyFill="1" applyBorder="1" applyAlignment="1">
      <alignment horizontal="left" vertical="center" wrapText="1"/>
    </xf>
    <xf numFmtId="0" fontId="55" fillId="7" borderId="20" xfId="0" applyFont="1" applyFill="1" applyBorder="1" applyAlignment="1">
      <alignment horizontal="center"/>
    </xf>
    <xf numFmtId="0" fontId="55" fillId="7" borderId="21" xfId="0" applyFont="1" applyFill="1" applyBorder="1" applyAlignment="1">
      <alignment horizontal="center"/>
    </xf>
    <xf numFmtId="0" fontId="55" fillId="7" borderId="22" xfId="0" applyFont="1" applyFill="1" applyBorder="1" applyAlignment="1">
      <alignment horizontal="center"/>
    </xf>
    <xf numFmtId="0" fontId="26" fillId="7" borderId="0" xfId="0" applyFont="1" applyFill="1" applyBorder="1" applyAlignment="1">
      <alignment horizontal="left" vertical="center" wrapText="1"/>
    </xf>
    <xf numFmtId="173" fontId="29" fillId="8" borderId="47" xfId="1" applyNumberFormat="1" applyFont="1" applyFill="1" applyBorder="1" applyAlignment="1">
      <alignment horizontal="right" vertical="center"/>
    </xf>
    <xf numFmtId="0" fontId="0" fillId="8" borderId="0" xfId="0" applyFill="1" applyBorder="1" applyAlignment="1"/>
    <xf numFmtId="0" fontId="0" fillId="35" borderId="5" xfId="0" applyFill="1" applyBorder="1"/>
  </cellXfs>
  <cellStyles count="27">
    <cellStyle name="Comma 2" xfId="3"/>
    <cellStyle name="Comma 3" xfId="5"/>
    <cellStyle name="Comma 4" xfId="6"/>
    <cellStyle name="Comma 5" xfId="7"/>
    <cellStyle name="Currency 2" xfId="8"/>
    <cellStyle name="Currency 2 2" xfId="9"/>
    <cellStyle name="Hyperlink" xfId="26" builtinId="8"/>
    <cellStyle name="Normal" xfId="0" builtinId="0"/>
    <cellStyle name="Normal 2" xfId="2"/>
    <cellStyle name="Normal 2 2" xfId="10"/>
    <cellStyle name="Normal 3" xfId="11"/>
    <cellStyle name="Normal 3 2" xfId="12"/>
    <cellStyle name="Normal 4" xfId="13"/>
    <cellStyle name="Normal 5" xfId="14"/>
    <cellStyle name="Normal 5 2" xfId="15"/>
    <cellStyle name="Normal 6" xfId="16"/>
    <cellStyle name="Normal 7" xfId="17"/>
    <cellStyle name="Normal 8" xfId="18"/>
    <cellStyle name="Note 2" xfId="19"/>
    <cellStyle name="Percent" xfId="1" builtinId="5"/>
    <cellStyle name="Percent 2" xfId="20"/>
    <cellStyle name="Percent 2 2" xfId="4"/>
    <cellStyle name="Percent 2 3" xfId="21"/>
    <cellStyle name="Percent 3" xfId="22"/>
    <cellStyle name="Percent 3 2" xfId="23"/>
    <cellStyle name="Percent 3 2 2" xfId="24"/>
    <cellStyle name="Percent 4" xfId="25"/>
  </cellStyles>
  <dxfs count="3">
    <dxf>
      <fill>
        <patternFill>
          <bgColor rgb="FFFFFF00"/>
        </patternFill>
      </fill>
    </dxf>
    <dxf>
      <fill>
        <patternFill>
          <bgColor rgb="FFFFFF00"/>
        </patternFill>
      </fill>
    </dxf>
    <dxf>
      <font>
        <color theme="0"/>
      </font>
      <fill>
        <patternFill>
          <bgColor rgb="FF7030A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'Security Analysis'!$C$15</c:f>
              <c:strCache>
                <c:ptCount val="1"/>
                <c:pt idx="0">
                  <c:v>KBANK</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Analysis'!$C$16:$C$65</c:f>
              <c:numCache>
                <c:formatCode>General</c:formatCode>
                <c:ptCount val="50"/>
                <c:pt idx="0">
                  <c:v>64.5</c:v>
                </c:pt>
                <c:pt idx="1">
                  <c:v>48.75</c:v>
                </c:pt>
                <c:pt idx="2">
                  <c:v>42.5</c:v>
                </c:pt>
                <c:pt idx="3">
                  <c:v>45.75</c:v>
                </c:pt>
                <c:pt idx="4">
                  <c:v>47</c:v>
                </c:pt>
                <c:pt idx="5">
                  <c:v>44.5</c:v>
                </c:pt>
                <c:pt idx="6">
                  <c:v>46.5</c:v>
                </c:pt>
                <c:pt idx="7">
                  <c:v>51.25</c:v>
                </c:pt>
                <c:pt idx="8">
                  <c:v>55.75</c:v>
                </c:pt>
                <c:pt idx="9">
                  <c:v>66.25</c:v>
                </c:pt>
                <c:pt idx="10">
                  <c:v>72</c:v>
                </c:pt>
                <c:pt idx="11">
                  <c:v>73</c:v>
                </c:pt>
                <c:pt idx="12">
                  <c:v>79.25</c:v>
                </c:pt>
                <c:pt idx="13">
                  <c:v>81.75</c:v>
                </c:pt>
                <c:pt idx="14">
                  <c:v>81.25</c:v>
                </c:pt>
                <c:pt idx="15">
                  <c:v>84.75</c:v>
                </c:pt>
                <c:pt idx="16">
                  <c:v>81.5</c:v>
                </c:pt>
                <c:pt idx="17">
                  <c:v>86.5</c:v>
                </c:pt>
                <c:pt idx="18">
                  <c:v>98</c:v>
                </c:pt>
                <c:pt idx="19">
                  <c:v>89.75</c:v>
                </c:pt>
                <c:pt idx="20">
                  <c:v>85.5</c:v>
                </c:pt>
                <c:pt idx="21">
                  <c:v>91.75</c:v>
                </c:pt>
                <c:pt idx="22">
                  <c:v>102</c:v>
                </c:pt>
                <c:pt idx="23">
                  <c:v>106</c:v>
                </c:pt>
                <c:pt idx="24">
                  <c:v>114.5</c:v>
                </c:pt>
                <c:pt idx="25">
                  <c:v>117.5</c:v>
                </c:pt>
                <c:pt idx="26">
                  <c:v>116</c:v>
                </c:pt>
                <c:pt idx="27">
                  <c:v>124.5</c:v>
                </c:pt>
                <c:pt idx="28">
                  <c:v>118.5</c:v>
                </c:pt>
                <c:pt idx="29">
                  <c:v>117.5</c:v>
                </c:pt>
                <c:pt idx="30">
                  <c:v>126.5</c:v>
                </c:pt>
                <c:pt idx="31">
                  <c:v>125</c:v>
                </c:pt>
                <c:pt idx="32">
                  <c:v>122</c:v>
                </c:pt>
                <c:pt idx="33">
                  <c:v>116.5</c:v>
                </c:pt>
                <c:pt idx="34">
                  <c:v>141</c:v>
                </c:pt>
                <c:pt idx="35">
                  <c:v>125</c:v>
                </c:pt>
                <c:pt idx="36">
                  <c:v>117</c:v>
                </c:pt>
                <c:pt idx="37">
                  <c:v>123</c:v>
                </c:pt>
                <c:pt idx="38">
                  <c:v>114.5</c:v>
                </c:pt>
                <c:pt idx="39">
                  <c:v>122.5</c:v>
                </c:pt>
                <c:pt idx="40">
                  <c:v>126.5</c:v>
                </c:pt>
                <c:pt idx="41">
                  <c:v>145</c:v>
                </c:pt>
                <c:pt idx="42">
                  <c:v>153.5</c:v>
                </c:pt>
                <c:pt idx="43">
                  <c:v>155</c:v>
                </c:pt>
                <c:pt idx="44">
                  <c:v>149.5</c:v>
                </c:pt>
                <c:pt idx="45">
                  <c:v>162</c:v>
                </c:pt>
                <c:pt idx="46">
                  <c:v>166.5</c:v>
                </c:pt>
                <c:pt idx="47">
                  <c:v>173</c:v>
                </c:pt>
                <c:pt idx="48">
                  <c:v>182.5</c:v>
                </c:pt>
                <c:pt idx="49">
                  <c:v>175</c:v>
                </c:pt>
              </c:numCache>
            </c:numRef>
          </c:val>
        </c:ser>
        <c:ser>
          <c:idx val="1"/>
          <c:order val="1"/>
          <c:tx>
            <c:strRef>
              <c:f>'Security Analysis'!$D$15</c:f>
              <c:strCache>
                <c:ptCount val="1"/>
                <c:pt idx="0">
                  <c:v>BBL</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Analysis'!$D$16:$D$65</c:f>
              <c:numCache>
                <c:formatCode>General</c:formatCode>
                <c:ptCount val="50"/>
                <c:pt idx="0">
                  <c:v>106</c:v>
                </c:pt>
                <c:pt idx="1">
                  <c:v>63.5</c:v>
                </c:pt>
                <c:pt idx="2">
                  <c:v>65.5</c:v>
                </c:pt>
                <c:pt idx="3">
                  <c:v>68.5</c:v>
                </c:pt>
                <c:pt idx="4">
                  <c:v>74.5</c:v>
                </c:pt>
                <c:pt idx="5">
                  <c:v>74.5</c:v>
                </c:pt>
                <c:pt idx="6">
                  <c:v>76.5</c:v>
                </c:pt>
                <c:pt idx="7">
                  <c:v>78.75</c:v>
                </c:pt>
                <c:pt idx="8">
                  <c:v>88.75</c:v>
                </c:pt>
                <c:pt idx="9">
                  <c:v>106</c:v>
                </c:pt>
                <c:pt idx="10">
                  <c:v>115</c:v>
                </c:pt>
                <c:pt idx="11">
                  <c:v>112</c:v>
                </c:pt>
                <c:pt idx="12">
                  <c:v>117</c:v>
                </c:pt>
                <c:pt idx="13">
                  <c:v>113</c:v>
                </c:pt>
                <c:pt idx="14">
                  <c:v>111.5</c:v>
                </c:pt>
                <c:pt idx="15">
                  <c:v>116</c:v>
                </c:pt>
                <c:pt idx="16">
                  <c:v>112</c:v>
                </c:pt>
                <c:pt idx="17">
                  <c:v>116.5</c:v>
                </c:pt>
                <c:pt idx="18">
                  <c:v>135</c:v>
                </c:pt>
                <c:pt idx="19">
                  <c:v>113</c:v>
                </c:pt>
                <c:pt idx="20">
                  <c:v>113.5</c:v>
                </c:pt>
                <c:pt idx="21">
                  <c:v>125.5</c:v>
                </c:pt>
                <c:pt idx="22">
                  <c:v>141</c:v>
                </c:pt>
                <c:pt idx="23">
                  <c:v>142</c:v>
                </c:pt>
                <c:pt idx="24">
                  <c:v>153</c:v>
                </c:pt>
                <c:pt idx="25">
                  <c:v>151</c:v>
                </c:pt>
                <c:pt idx="26">
                  <c:v>147</c:v>
                </c:pt>
                <c:pt idx="27">
                  <c:v>145</c:v>
                </c:pt>
                <c:pt idx="28">
                  <c:v>153.5</c:v>
                </c:pt>
                <c:pt idx="29">
                  <c:v>160</c:v>
                </c:pt>
                <c:pt idx="30">
                  <c:v>165</c:v>
                </c:pt>
                <c:pt idx="31">
                  <c:v>171.5</c:v>
                </c:pt>
                <c:pt idx="32">
                  <c:v>161</c:v>
                </c:pt>
                <c:pt idx="33">
                  <c:v>152</c:v>
                </c:pt>
                <c:pt idx="34">
                  <c:v>173.5</c:v>
                </c:pt>
                <c:pt idx="35">
                  <c:v>152</c:v>
                </c:pt>
                <c:pt idx="36">
                  <c:v>145</c:v>
                </c:pt>
                <c:pt idx="37">
                  <c:v>148.5</c:v>
                </c:pt>
                <c:pt idx="38">
                  <c:v>141.5</c:v>
                </c:pt>
                <c:pt idx="39">
                  <c:v>152</c:v>
                </c:pt>
                <c:pt idx="40">
                  <c:v>152.5</c:v>
                </c:pt>
                <c:pt idx="41">
                  <c:v>177</c:v>
                </c:pt>
                <c:pt idx="42">
                  <c:v>187</c:v>
                </c:pt>
                <c:pt idx="43">
                  <c:v>186</c:v>
                </c:pt>
                <c:pt idx="44">
                  <c:v>180.5</c:v>
                </c:pt>
                <c:pt idx="45">
                  <c:v>187.5</c:v>
                </c:pt>
                <c:pt idx="46">
                  <c:v>190.5</c:v>
                </c:pt>
                <c:pt idx="47">
                  <c:v>194.5</c:v>
                </c:pt>
                <c:pt idx="48">
                  <c:v>194</c:v>
                </c:pt>
                <c:pt idx="49">
                  <c:v>175</c:v>
                </c:pt>
              </c:numCache>
            </c:numRef>
          </c:val>
        </c:ser>
        <c:ser>
          <c:idx val="2"/>
          <c:order val="2"/>
          <c:tx>
            <c:strRef>
              <c:f>'Security Analysis'!$E$15</c:f>
              <c:strCache>
                <c:ptCount val="1"/>
                <c:pt idx="0">
                  <c:v>SCB</c:v>
                </c:pt>
              </c:strCache>
            </c:strRef>
          </c:tx>
          <c:cat>
            <c:numRef>
              <c:f>'Security Analysis'!$B$16:$B$65</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Analysis'!$E$16:$E$65</c:f>
              <c:numCache>
                <c:formatCode>General</c:formatCode>
                <c:ptCount val="50"/>
                <c:pt idx="0">
                  <c:v>36</c:v>
                </c:pt>
                <c:pt idx="1">
                  <c:v>28.75</c:v>
                </c:pt>
                <c:pt idx="2">
                  <c:v>30.75</c:v>
                </c:pt>
                <c:pt idx="3">
                  <c:v>43.25</c:v>
                </c:pt>
                <c:pt idx="4">
                  <c:v>39.75</c:v>
                </c:pt>
                <c:pt idx="5">
                  <c:v>38</c:v>
                </c:pt>
                <c:pt idx="6">
                  <c:v>40</c:v>
                </c:pt>
                <c:pt idx="7">
                  <c:v>37.5</c:v>
                </c:pt>
                <c:pt idx="8">
                  <c:v>37.75</c:v>
                </c:pt>
                <c:pt idx="9">
                  <c:v>37.5</c:v>
                </c:pt>
                <c:pt idx="10">
                  <c:v>37.5</c:v>
                </c:pt>
                <c:pt idx="11">
                  <c:v>37.25</c:v>
                </c:pt>
                <c:pt idx="12">
                  <c:v>37.75</c:v>
                </c:pt>
                <c:pt idx="13">
                  <c:v>37.75</c:v>
                </c:pt>
                <c:pt idx="14">
                  <c:v>36.75</c:v>
                </c:pt>
                <c:pt idx="15">
                  <c:v>35.25</c:v>
                </c:pt>
                <c:pt idx="16">
                  <c:v>34.5</c:v>
                </c:pt>
                <c:pt idx="17">
                  <c:v>35.5</c:v>
                </c:pt>
                <c:pt idx="18">
                  <c:v>36.25</c:v>
                </c:pt>
                <c:pt idx="19">
                  <c:v>36.25</c:v>
                </c:pt>
                <c:pt idx="20">
                  <c:v>36</c:v>
                </c:pt>
                <c:pt idx="21">
                  <c:v>36.25</c:v>
                </c:pt>
                <c:pt idx="22">
                  <c:v>37.75</c:v>
                </c:pt>
                <c:pt idx="23">
                  <c:v>38</c:v>
                </c:pt>
                <c:pt idx="24">
                  <c:v>37.75</c:v>
                </c:pt>
                <c:pt idx="25">
                  <c:v>37</c:v>
                </c:pt>
                <c:pt idx="26">
                  <c:v>34.75</c:v>
                </c:pt>
                <c:pt idx="27">
                  <c:v>38.25</c:v>
                </c:pt>
                <c:pt idx="28">
                  <c:v>40.25</c:v>
                </c:pt>
                <c:pt idx="29">
                  <c:v>38.25</c:v>
                </c:pt>
                <c:pt idx="30">
                  <c:v>37.75</c:v>
                </c:pt>
                <c:pt idx="31">
                  <c:v>39.75</c:v>
                </c:pt>
                <c:pt idx="32">
                  <c:v>43</c:v>
                </c:pt>
                <c:pt idx="33">
                  <c:v>40.75</c:v>
                </c:pt>
                <c:pt idx="34">
                  <c:v>43</c:v>
                </c:pt>
                <c:pt idx="35">
                  <c:v>43.75</c:v>
                </c:pt>
                <c:pt idx="36">
                  <c:v>42.75</c:v>
                </c:pt>
                <c:pt idx="37">
                  <c:v>40.5</c:v>
                </c:pt>
                <c:pt idx="38">
                  <c:v>42.25</c:v>
                </c:pt>
                <c:pt idx="39">
                  <c:v>43.5</c:v>
                </c:pt>
                <c:pt idx="40">
                  <c:v>43.75</c:v>
                </c:pt>
                <c:pt idx="41">
                  <c:v>42.5</c:v>
                </c:pt>
                <c:pt idx="42">
                  <c:v>41.5</c:v>
                </c:pt>
                <c:pt idx="43">
                  <c:v>42</c:v>
                </c:pt>
                <c:pt idx="44">
                  <c:v>40.5</c:v>
                </c:pt>
                <c:pt idx="45">
                  <c:v>43</c:v>
                </c:pt>
                <c:pt idx="46">
                  <c:v>44.75</c:v>
                </c:pt>
                <c:pt idx="47">
                  <c:v>48</c:v>
                </c:pt>
                <c:pt idx="48">
                  <c:v>48.5</c:v>
                </c:pt>
                <c:pt idx="49">
                  <c:v>54</c:v>
                </c:pt>
              </c:numCache>
            </c:numRef>
          </c:val>
        </c:ser>
        <c:marker val="1"/>
        <c:axId val="124228352"/>
        <c:axId val="124229888"/>
      </c:lineChart>
      <c:dateAx>
        <c:axId val="124228352"/>
        <c:scaling>
          <c:orientation val="minMax"/>
        </c:scaling>
        <c:axPos val="b"/>
        <c:numFmt formatCode="[$-409]mmmm\ d\,\ yyyy;@" sourceLinked="1"/>
        <c:tickLblPos val="nextTo"/>
        <c:crossAx val="124229888"/>
        <c:crosses val="autoZero"/>
        <c:auto val="1"/>
        <c:lblOffset val="100"/>
      </c:dateAx>
      <c:valAx>
        <c:axId val="124229888"/>
        <c:scaling>
          <c:orientation val="minMax"/>
        </c:scaling>
        <c:axPos val="l"/>
        <c:majorGridlines/>
        <c:numFmt formatCode="General" sourceLinked="1"/>
        <c:tickLblPos val="nextTo"/>
        <c:crossAx val="124228352"/>
        <c:crosses val="autoZero"/>
        <c:crossBetween val="between"/>
      </c:valAx>
    </c:plotArea>
    <c:legend>
      <c:legendPos val="r"/>
    </c:legend>
    <c:plotVisOnly val="1"/>
  </c:chart>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Efficient Frontier</a:t>
            </a:r>
          </a:p>
        </c:rich>
      </c:tx>
      <c:layout/>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0.12030858216429019</c:v>
                </c:pt>
                <c:pt idx="1">
                  <c:v>9.865921206384265E-2</c:v>
                </c:pt>
                <c:pt idx="2">
                  <c:v>7.8675769583069405E-2</c:v>
                </c:pt>
                <c:pt idx="3">
                  <c:v>6.1990843885783881E-2</c:v>
                </c:pt>
                <c:pt idx="4">
                  <c:v>5.1890308763857571E-2</c:v>
                </c:pt>
                <c:pt idx="5">
                  <c:v>5.2336363776047362E-2</c:v>
                </c:pt>
                <c:pt idx="6">
                  <c:v>6.3105762135818436E-2</c:v>
                </c:pt>
                <c:pt idx="7">
                  <c:v>8.0139446391522318E-2</c:v>
                </c:pt>
                <c:pt idx="8">
                  <c:v>0.10029494470256366</c:v>
                </c:pt>
                <c:pt idx="9">
                  <c:v>0.12203512776899265</c:v>
                </c:pt>
                <c:pt idx="10">
                  <c:v>0.14464722706658389</c:v>
                </c:pt>
                <c:pt idx="11">
                  <c:v>0.16777907973958742</c:v>
                </c:pt>
                <c:pt idx="12">
                  <c:v>0.19124217712164657</c:v>
                </c:pt>
                <c:pt idx="13">
                  <c:v>0.21492806339318526</c:v>
                </c:pt>
                <c:pt idx="14">
                  <c:v>0.2387704461808797</c:v>
                </c:pt>
                <c:pt idx="15">
                  <c:v>0.26272672288262022</c:v>
                </c:pt>
                <c:pt idx="16">
                  <c:v>0.28676835124472738</c:v>
                </c:pt>
                <c:pt idx="17">
                  <c:v>0.31087552982882227</c:v>
                </c:pt>
                <c:pt idx="18">
                  <c:v>0.33503410905284858</c:v>
                </c:pt>
                <c:pt idx="19">
                  <c:v>0.35923371893945949</c:v>
                </c:pt>
                <c:pt idx="20">
                  <c:v>0.38346659154229668</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5.0649310016659066E-2</c:v>
                </c:pt>
              </c:numCache>
            </c:numRef>
          </c:xVal>
          <c:yVal>
            <c:numRef>
              <c:f>Matrix!$G$18</c:f>
              <c:numCache>
                <c:formatCode>0.00%</c:formatCode>
                <c:ptCount val="1"/>
                <c:pt idx="0">
                  <c:v>2.2305762377910324E-2</c:v>
                </c:pt>
              </c:numCache>
            </c:numRef>
          </c:yVal>
          <c:smooth val="1"/>
        </c:ser>
        <c:ser>
          <c:idx val="3"/>
          <c:order val="2"/>
          <c:tx>
            <c:v>Efficient Frontier - C</c:v>
          </c:tx>
          <c:marker>
            <c:symbol val="none"/>
          </c:marker>
          <c:xVal>
            <c:numRef>
              <c:f>Matrix!$P$122:$P$142</c:f>
              <c:numCache>
                <c:formatCode>General</c:formatCode>
                <c:ptCount val="21"/>
                <c:pt idx="0">
                  <c:v>0.13327179803191536</c:v>
                </c:pt>
                <c:pt idx="1">
                  <c:v>0.105962977649217</c:v>
                </c:pt>
                <c:pt idx="2">
                  <c:v>8.1174014752129681E-2</c:v>
                </c:pt>
                <c:pt idx="3">
                  <c:v>6.2004647138187589E-2</c:v>
                </c:pt>
                <c:pt idx="4">
                  <c:v>5.4719461067750143E-2</c:v>
                </c:pt>
                <c:pt idx="5">
                  <c:v>6.3546440729757431E-2</c:v>
                </c:pt>
                <c:pt idx="6">
                  <c:v>8.3524657415387241E-2</c:v>
                </c:pt>
                <c:pt idx="7">
                  <c:v>0.1086686441452028</c:v>
                </c:pt>
                <c:pt idx="8">
                  <c:v>0.13614575866113979</c:v>
                </c:pt>
                <c:pt idx="9">
                  <c:v>0.16479304760680771</c:v>
                </c:pt>
                <c:pt idx="10">
                  <c:v>0.1940930628196782</c:v>
                </c:pt>
                <c:pt idx="11">
                  <c:v>0.2237895732311253</c:v>
                </c:pt>
                <c:pt idx="12">
                  <c:v>0.25374340719765803</c:v>
                </c:pt>
                <c:pt idx="13">
                  <c:v>0.28387311930270093</c:v>
                </c:pt>
                <c:pt idx="14">
                  <c:v>0.31412810537434593</c:v>
                </c:pt>
                <c:pt idx="15">
                  <c:v>0.34447535886702918</c:v>
                </c:pt>
                <c:pt idx="16">
                  <c:v>0.37489247352290578</c:v>
                </c:pt>
                <c:pt idx="17">
                  <c:v>0.4053637232150139</c:v>
                </c:pt>
                <c:pt idx="18">
                  <c:v>0.43587775470929441</c:v>
                </c:pt>
                <c:pt idx="19">
                  <c:v>0.4664261716061342</c:v>
                </c:pt>
                <c:pt idx="20">
                  <c:v>0.49700263341853201</c:v>
                </c:pt>
              </c:numCache>
            </c:numRef>
          </c:xVal>
          <c:yVal>
            <c:numRef>
              <c:f>Matrix!$Q$122:$Q$142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4"/>
          <c:order val="3"/>
          <c:tx>
            <c:v>MVP - C</c:v>
          </c:tx>
          <c:marker>
            <c:symbol val="dash"/>
            <c:size val="9"/>
          </c:marker>
          <c:xVal>
            <c:numRef>
              <c:f>Matrix!$S$105</c:f>
              <c:numCache>
                <c:formatCode>0.00%</c:formatCode>
                <c:ptCount val="1"/>
                <c:pt idx="0">
                  <c:v>5.469686278596201E-2</c:v>
                </c:pt>
              </c:numCache>
            </c:numRef>
          </c:xVal>
          <c:yVal>
            <c:numRef>
              <c:f>Matrix!$S$104</c:f>
              <c:numCache>
                <c:formatCode>0.00%</c:formatCode>
                <c:ptCount val="1"/>
                <c:pt idx="0">
                  <c:v>1.9744529464431369E-2</c:v>
                </c:pt>
              </c:numCache>
            </c:numRef>
          </c:yVal>
          <c:smooth val="1"/>
        </c:ser>
        <c:ser>
          <c:idx val="2"/>
          <c:order val="4"/>
          <c:tx>
            <c:v>RQ</c:v>
          </c:tx>
          <c:marker>
            <c:symbol val="circle"/>
            <c:size val="9"/>
          </c:marker>
          <c:xVal>
            <c:numRef>
              <c:f>'Security Analysis'!$Z$13</c:f>
              <c:numCache>
                <c:formatCode>0.00%</c:formatCode>
                <c:ptCount val="1"/>
                <c:pt idx="0">
                  <c:v>8.3524657415387282E-2</c:v>
                </c:pt>
              </c:numCache>
            </c:numRef>
          </c:xVal>
          <c:yVal>
            <c:numRef>
              <c:f>'Security Analysis'!$Z$12</c:f>
              <c:numCache>
                <c:formatCode>0.00%</c:formatCode>
                <c:ptCount val="1"/>
                <c:pt idx="0">
                  <c:v>0.03</c:v>
                </c:pt>
              </c:numCache>
            </c:numRef>
          </c:yVal>
          <c:smooth val="1"/>
        </c:ser>
        <c:axId val="125655296"/>
        <c:axId val="125669376"/>
      </c:scatterChart>
      <c:valAx>
        <c:axId val="125655296"/>
        <c:scaling>
          <c:orientation val="minMax"/>
        </c:scaling>
        <c:axPos val="b"/>
        <c:numFmt formatCode="General" sourceLinked="1"/>
        <c:tickLblPos val="nextTo"/>
        <c:crossAx val="125669376"/>
        <c:crosses val="autoZero"/>
        <c:crossBetween val="midCat"/>
      </c:valAx>
      <c:valAx>
        <c:axId val="125669376"/>
        <c:scaling>
          <c:orientation val="minMax"/>
        </c:scaling>
        <c:axPos val="l"/>
        <c:majorGridlines/>
        <c:numFmt formatCode="General" sourceLinked="1"/>
        <c:tickLblPos val="nextTo"/>
        <c:crossAx val="125655296"/>
        <c:crosses val="autoZero"/>
        <c:crossBetween val="midCat"/>
      </c:valAx>
    </c:plotArea>
    <c:legend>
      <c:legendPos val="b"/>
      <c:layout/>
    </c:legend>
    <c:plotVisOnly val="1"/>
  </c:chart>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45"/>
  <c:chart>
    <c:title>
      <c:tx>
        <c:rich>
          <a:bodyPr/>
          <a:lstStyle/>
          <a:p>
            <a:pPr>
              <a:defRPr/>
            </a:pPr>
            <a:r>
              <a:rPr lang="en-US"/>
              <a:t>Efficient Portfolio Weight</a:t>
            </a:r>
          </a:p>
        </c:rich>
      </c:tx>
      <c:layout/>
    </c:title>
    <c:plotArea>
      <c:layout/>
      <c:barChart>
        <c:barDir val="col"/>
        <c:grouping val="clustered"/>
        <c:ser>
          <c:idx val="0"/>
          <c:order val="0"/>
          <c:tx>
            <c:strRef>
              <c:f>Matrix!$G$36</c:f>
              <c:strCache>
                <c:ptCount val="1"/>
                <c:pt idx="0">
                  <c:v>RQ</c:v>
                </c:pt>
              </c:strCache>
            </c:strRef>
          </c:tx>
          <c:cat>
            <c:strRef>
              <c:f>Matrix!$C$32:$C$38</c:f>
              <c:strCache>
                <c:ptCount val="7"/>
                <c:pt idx="0">
                  <c:v>ADVANC</c:v>
                </c:pt>
                <c:pt idx="1">
                  <c:v>AOT</c:v>
                </c:pt>
                <c:pt idx="2">
                  <c:v>BBL</c:v>
                </c:pt>
                <c:pt idx="3">
                  <c:v>KBANK</c:v>
                </c:pt>
                <c:pt idx="4">
                  <c:v>SCB</c:v>
                </c:pt>
                <c:pt idx="5">
                  <c:v>BAY</c:v>
                </c:pt>
                <c:pt idx="6">
                  <c:v>TMB</c:v>
                </c:pt>
              </c:strCache>
            </c:strRef>
          </c:cat>
          <c:val>
            <c:numRef>
              <c:f>'Security Analysis'!$AG$4:$AG$10</c:f>
              <c:numCache>
                <c:formatCode>General</c:formatCode>
                <c:ptCount val="7"/>
                <c:pt idx="0">
                  <c:v>0.69975670086463682</c:v>
                </c:pt>
                <c:pt idx="1">
                  <c:v>0.16709105716988212</c:v>
                </c:pt>
                <c:pt idx="2">
                  <c:v>0.15</c:v>
                </c:pt>
                <c:pt idx="3">
                  <c:v>1.4238151491330842</c:v>
                </c:pt>
                <c:pt idx="4">
                  <c:v>-0.38468893825533934</c:v>
                </c:pt>
                <c:pt idx="5">
                  <c:v>-0.74595290743658338</c:v>
                </c:pt>
                <c:pt idx="6">
                  <c:v>-0.31002106147567998</c:v>
                </c:pt>
              </c:numCache>
            </c:numRef>
          </c:val>
        </c:ser>
        <c:axId val="125692160"/>
        <c:axId val="124391424"/>
      </c:barChart>
      <c:catAx>
        <c:axId val="125692160"/>
        <c:scaling>
          <c:orientation val="minMax"/>
        </c:scaling>
        <c:axPos val="b"/>
        <c:numFmt formatCode="General" sourceLinked="1"/>
        <c:tickLblPos val="nextTo"/>
        <c:crossAx val="124391424"/>
        <c:crosses val="autoZero"/>
        <c:auto val="1"/>
        <c:lblAlgn val="ctr"/>
        <c:lblOffset val="100"/>
      </c:catAx>
      <c:valAx>
        <c:axId val="124391424"/>
        <c:scaling>
          <c:orientation val="minMax"/>
        </c:scaling>
        <c:axPos val="l"/>
        <c:majorGridlines/>
        <c:numFmt formatCode="General" sourceLinked="1"/>
        <c:tickLblPos val="nextTo"/>
        <c:crossAx val="125692160"/>
        <c:crosses val="autoZero"/>
        <c:crossBetween val="between"/>
      </c:valAx>
    </c:plotArea>
    <c:plotVisOnly val="1"/>
  </c:chart>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Efficient Frontier</a:t>
            </a:r>
          </a:p>
        </c:rich>
      </c:tx>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0.12030858216429019</c:v>
                </c:pt>
                <c:pt idx="1">
                  <c:v>9.865921206384265E-2</c:v>
                </c:pt>
                <c:pt idx="2">
                  <c:v>7.8675769583069405E-2</c:v>
                </c:pt>
                <c:pt idx="3">
                  <c:v>6.1990843885783881E-2</c:v>
                </c:pt>
                <c:pt idx="4">
                  <c:v>5.1890308763857571E-2</c:v>
                </c:pt>
                <c:pt idx="5">
                  <c:v>5.2336363776047362E-2</c:v>
                </c:pt>
                <c:pt idx="6">
                  <c:v>6.3105762135818436E-2</c:v>
                </c:pt>
                <c:pt idx="7">
                  <c:v>8.0139446391522318E-2</c:v>
                </c:pt>
                <c:pt idx="8">
                  <c:v>0.10029494470256366</c:v>
                </c:pt>
                <c:pt idx="9">
                  <c:v>0.12203512776899265</c:v>
                </c:pt>
                <c:pt idx="10">
                  <c:v>0.14464722706658389</c:v>
                </c:pt>
                <c:pt idx="11">
                  <c:v>0.16777907973958742</c:v>
                </c:pt>
                <c:pt idx="12">
                  <c:v>0.19124217712164657</c:v>
                </c:pt>
                <c:pt idx="13">
                  <c:v>0.21492806339318526</c:v>
                </c:pt>
                <c:pt idx="14">
                  <c:v>0.2387704461808797</c:v>
                </c:pt>
                <c:pt idx="15">
                  <c:v>0.26272672288262022</c:v>
                </c:pt>
                <c:pt idx="16">
                  <c:v>0.28676835124472738</c:v>
                </c:pt>
                <c:pt idx="17">
                  <c:v>0.31087552982882227</c:v>
                </c:pt>
                <c:pt idx="18">
                  <c:v>0.33503410905284858</c:v>
                </c:pt>
                <c:pt idx="19">
                  <c:v>0.35923371893945949</c:v>
                </c:pt>
                <c:pt idx="20">
                  <c:v>0.38346659154229668</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5.0649310016659066E-2</c:v>
                </c:pt>
              </c:numCache>
            </c:numRef>
          </c:xVal>
          <c:yVal>
            <c:numRef>
              <c:f>Matrix!$G$18</c:f>
              <c:numCache>
                <c:formatCode>0.00%</c:formatCode>
                <c:ptCount val="1"/>
                <c:pt idx="0">
                  <c:v>2.2305762377910324E-2</c:v>
                </c:pt>
              </c:numCache>
            </c:numRef>
          </c:yVal>
          <c:smooth val="1"/>
        </c:ser>
        <c:ser>
          <c:idx val="2"/>
          <c:order val="2"/>
          <c:tx>
            <c:strRef>
              <c:f>Matrix!$G$36</c:f>
              <c:strCache>
                <c:ptCount val="1"/>
                <c:pt idx="0">
                  <c:v>RQ</c:v>
                </c:pt>
              </c:strCache>
            </c:strRef>
          </c:tx>
          <c:marker>
            <c:symbol val="circle"/>
            <c:size val="9"/>
          </c:marker>
          <c:xVal>
            <c:numRef>
              <c:f>Matrix!$G$38</c:f>
              <c:numCache>
                <c:formatCode>0.00%</c:formatCode>
                <c:ptCount val="1"/>
                <c:pt idx="0">
                  <c:v>6.3105762135818505E-2</c:v>
                </c:pt>
              </c:numCache>
            </c:numRef>
          </c:xVal>
          <c:yVal>
            <c:numRef>
              <c:f>Matrix!$G$37</c:f>
              <c:numCache>
                <c:formatCode>0.00%</c:formatCode>
                <c:ptCount val="1"/>
                <c:pt idx="0">
                  <c:v>0.03</c:v>
                </c:pt>
              </c:numCache>
            </c:numRef>
          </c:yVal>
          <c:smooth val="1"/>
        </c:ser>
        <c:axId val="126146816"/>
        <c:axId val="126164992"/>
      </c:scatterChart>
      <c:valAx>
        <c:axId val="126146816"/>
        <c:scaling>
          <c:orientation val="minMax"/>
        </c:scaling>
        <c:axPos val="b"/>
        <c:numFmt formatCode="General" sourceLinked="1"/>
        <c:tickLblPos val="nextTo"/>
        <c:crossAx val="126164992"/>
        <c:crosses val="autoZero"/>
        <c:crossBetween val="midCat"/>
      </c:valAx>
      <c:valAx>
        <c:axId val="126164992"/>
        <c:scaling>
          <c:orientation val="minMax"/>
        </c:scaling>
        <c:axPos val="l"/>
        <c:majorGridlines/>
        <c:numFmt formatCode="General" sourceLinked="1"/>
        <c:tickLblPos val="nextTo"/>
        <c:crossAx val="126146816"/>
        <c:crosses val="autoZero"/>
        <c:crossBetween val="midCat"/>
      </c:valAx>
    </c:plotArea>
    <c:legend>
      <c:legendPos val="b"/>
    </c:legend>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style val="45"/>
  <c:chart>
    <c:title>
      <c:tx>
        <c:rich>
          <a:bodyPr/>
          <a:lstStyle/>
          <a:p>
            <a:pPr>
              <a:defRPr/>
            </a:pPr>
            <a:r>
              <a:rPr lang="en-US"/>
              <a:t>Efficient Weigth No Constraints</a:t>
            </a:r>
          </a:p>
        </c:rich>
      </c:tx>
    </c:title>
    <c:plotArea>
      <c:layout/>
      <c:barChart>
        <c:barDir val="col"/>
        <c:grouping val="clustered"/>
        <c:ser>
          <c:idx val="0"/>
          <c:order val="0"/>
          <c:tx>
            <c:strRef>
              <c:f>Matrix!$G$36</c:f>
              <c:strCache>
                <c:ptCount val="1"/>
                <c:pt idx="0">
                  <c:v>RQ</c:v>
                </c:pt>
              </c:strCache>
            </c:strRef>
          </c:tx>
          <c:cat>
            <c:strRef>
              <c:f>Matrix!$C$32:$C$38</c:f>
              <c:strCache>
                <c:ptCount val="7"/>
                <c:pt idx="0">
                  <c:v>ADVANC</c:v>
                </c:pt>
                <c:pt idx="1">
                  <c:v>AOT</c:v>
                </c:pt>
                <c:pt idx="2">
                  <c:v>BBL</c:v>
                </c:pt>
                <c:pt idx="3">
                  <c:v>KBANK</c:v>
                </c:pt>
                <c:pt idx="4">
                  <c:v>SCB</c:v>
                </c:pt>
                <c:pt idx="5">
                  <c:v>BAY</c:v>
                </c:pt>
                <c:pt idx="6">
                  <c:v>TMB</c:v>
                </c:pt>
              </c:strCache>
            </c:strRef>
          </c:cat>
          <c:val>
            <c:numRef>
              <c:f>Matrix!$D$32:$D$38</c:f>
              <c:numCache>
                <c:formatCode>General</c:formatCode>
                <c:ptCount val="7"/>
                <c:pt idx="0">
                  <c:v>0.82420617355386483</c:v>
                </c:pt>
                <c:pt idx="1">
                  <c:v>-0.10478890286258025</c:v>
                </c:pt>
                <c:pt idx="2">
                  <c:v>-0.94539436818226052</c:v>
                </c:pt>
                <c:pt idx="3">
                  <c:v>1.1457612625232929</c:v>
                </c:pt>
                <c:pt idx="4">
                  <c:v>0.150846306655258</c:v>
                </c:pt>
                <c:pt idx="5">
                  <c:v>-5.0535647555490781E-2</c:v>
                </c:pt>
                <c:pt idx="6">
                  <c:v>-2.0094824132084244E-2</c:v>
                </c:pt>
              </c:numCache>
            </c:numRef>
          </c:val>
        </c:ser>
        <c:axId val="126171776"/>
        <c:axId val="126177664"/>
      </c:barChart>
      <c:catAx>
        <c:axId val="126171776"/>
        <c:scaling>
          <c:orientation val="minMax"/>
        </c:scaling>
        <c:axPos val="b"/>
        <c:tickLblPos val="nextTo"/>
        <c:crossAx val="126177664"/>
        <c:crosses val="autoZero"/>
        <c:auto val="1"/>
        <c:lblAlgn val="ctr"/>
        <c:lblOffset val="100"/>
      </c:catAx>
      <c:valAx>
        <c:axId val="126177664"/>
        <c:scaling>
          <c:orientation val="minMax"/>
        </c:scaling>
        <c:axPos val="l"/>
        <c:majorGridlines/>
        <c:numFmt formatCode="General" sourceLinked="1"/>
        <c:tickLblPos val="nextTo"/>
        <c:crossAx val="126171776"/>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style val="44"/>
  <c:chart>
    <c:title/>
    <c:plotArea>
      <c:layout/>
      <c:barChart>
        <c:barDir val="col"/>
        <c:grouping val="clustered"/>
        <c:ser>
          <c:idx val="0"/>
          <c:order val="0"/>
          <c:tx>
            <c:strRef>
              <c:f>Matrix!$G$17</c:f>
              <c:strCache>
                <c:ptCount val="1"/>
                <c:pt idx="0">
                  <c:v>MVP</c:v>
                </c:pt>
              </c:strCache>
            </c:strRef>
          </c:tx>
          <c:cat>
            <c:strRef>
              <c:f>Matrix!$C$13:$C$19</c:f>
              <c:strCache>
                <c:ptCount val="7"/>
                <c:pt idx="0">
                  <c:v>ADVANC</c:v>
                </c:pt>
                <c:pt idx="1">
                  <c:v>AOT</c:v>
                </c:pt>
                <c:pt idx="2">
                  <c:v>BBL</c:v>
                </c:pt>
                <c:pt idx="3">
                  <c:v>KBANK</c:v>
                </c:pt>
                <c:pt idx="4">
                  <c:v>SCB</c:v>
                </c:pt>
                <c:pt idx="5">
                  <c:v>BAY</c:v>
                </c:pt>
                <c:pt idx="6">
                  <c:v>TMB</c:v>
                </c:pt>
              </c:strCache>
            </c:strRef>
          </c:cat>
          <c:val>
            <c:numRef>
              <c:f>Matrix!$D$13:$D$19</c:f>
              <c:numCache>
                <c:formatCode>General</c:formatCode>
                <c:ptCount val="7"/>
                <c:pt idx="0">
                  <c:v>0.76318993237504551</c:v>
                </c:pt>
                <c:pt idx="1">
                  <c:v>-0.30046697321193139</c:v>
                </c:pt>
                <c:pt idx="2">
                  <c:v>-0.37007857636746866</c:v>
                </c:pt>
                <c:pt idx="3">
                  <c:v>0.61789343968108956</c:v>
                </c:pt>
                <c:pt idx="4">
                  <c:v>0.1144727026022828</c:v>
                </c:pt>
                <c:pt idx="5">
                  <c:v>0.11253250666132018</c:v>
                </c:pt>
                <c:pt idx="6">
                  <c:v>6.245696825966187E-2</c:v>
                </c:pt>
              </c:numCache>
            </c:numRef>
          </c:val>
        </c:ser>
        <c:axId val="126205312"/>
        <c:axId val="126211200"/>
      </c:barChart>
      <c:catAx>
        <c:axId val="126205312"/>
        <c:scaling>
          <c:orientation val="minMax"/>
        </c:scaling>
        <c:axPos val="b"/>
        <c:tickLblPos val="nextTo"/>
        <c:crossAx val="126211200"/>
        <c:crosses val="autoZero"/>
        <c:auto val="1"/>
        <c:lblAlgn val="ctr"/>
        <c:lblOffset val="100"/>
      </c:catAx>
      <c:valAx>
        <c:axId val="126211200"/>
        <c:scaling>
          <c:orientation val="minMax"/>
        </c:scaling>
        <c:axPos val="l"/>
        <c:majorGridlines/>
        <c:numFmt formatCode="General" sourceLinked="1"/>
        <c:tickLblPos val="nextTo"/>
        <c:crossAx val="126205312"/>
        <c:crosses val="autoZero"/>
        <c:crossBetween val="between"/>
      </c:valAx>
    </c:plotArea>
    <c:plotVisOnly val="1"/>
  </c:chart>
  <c:printSettings>
    <c:headerFooter/>
    <c:pageMargins b="0.75000000000000078" l="0.70000000000000062" r="0.70000000000000062" t="0.750000000000000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Capital Market Line</a:t>
            </a:r>
          </a:p>
        </c:rich>
      </c:tx>
      <c:layout/>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0.12030858216429019</c:v>
                </c:pt>
                <c:pt idx="1">
                  <c:v>9.865921206384265E-2</c:v>
                </c:pt>
                <c:pt idx="2">
                  <c:v>7.8675769583069405E-2</c:v>
                </c:pt>
                <c:pt idx="3">
                  <c:v>6.1990843885783881E-2</c:v>
                </c:pt>
                <c:pt idx="4">
                  <c:v>5.1890308763857571E-2</c:v>
                </c:pt>
                <c:pt idx="5">
                  <c:v>5.2336363776047362E-2</c:v>
                </c:pt>
                <c:pt idx="6">
                  <c:v>6.3105762135818436E-2</c:v>
                </c:pt>
                <c:pt idx="7">
                  <c:v>8.0139446391522318E-2</c:v>
                </c:pt>
                <c:pt idx="8">
                  <c:v>0.10029494470256366</c:v>
                </c:pt>
                <c:pt idx="9">
                  <c:v>0.12203512776899265</c:v>
                </c:pt>
                <c:pt idx="10">
                  <c:v>0.14464722706658389</c:v>
                </c:pt>
                <c:pt idx="11">
                  <c:v>0.16777907973958742</c:v>
                </c:pt>
                <c:pt idx="12">
                  <c:v>0.19124217712164657</c:v>
                </c:pt>
                <c:pt idx="13">
                  <c:v>0.21492806339318526</c:v>
                </c:pt>
                <c:pt idx="14">
                  <c:v>0.2387704461808797</c:v>
                </c:pt>
                <c:pt idx="15">
                  <c:v>0.26272672288262022</c:v>
                </c:pt>
                <c:pt idx="16">
                  <c:v>0.28676835124472738</c:v>
                </c:pt>
                <c:pt idx="17">
                  <c:v>0.31087552982882227</c:v>
                </c:pt>
                <c:pt idx="18">
                  <c:v>0.33503410905284858</c:v>
                </c:pt>
                <c:pt idx="19">
                  <c:v>0.35923371893945949</c:v>
                </c:pt>
                <c:pt idx="20">
                  <c:v>0.38346659154229668</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5.0649310016659066E-2</c:v>
                </c:pt>
              </c:numCache>
            </c:numRef>
          </c:xVal>
          <c:yVal>
            <c:numRef>
              <c:f>Matrix!$G$18</c:f>
              <c:numCache>
                <c:formatCode>0.00%</c:formatCode>
                <c:ptCount val="1"/>
                <c:pt idx="0">
                  <c:v>2.2305762377910324E-2</c:v>
                </c:pt>
              </c:numCache>
            </c:numRef>
          </c:yVal>
          <c:smooth val="1"/>
        </c:ser>
        <c:ser>
          <c:idx val="2"/>
          <c:order val="2"/>
          <c:tx>
            <c:v>CML</c:v>
          </c:tx>
          <c:marker>
            <c:symbol val="none"/>
          </c:marker>
          <c:xVal>
            <c:numRef>
              <c:f>Matrix!$AA$26:$AA$27</c:f>
              <c:numCache>
                <c:formatCode>General</c:formatCode>
                <c:ptCount val="2"/>
                <c:pt idx="0">
                  <c:v>0</c:v>
                </c:pt>
                <c:pt idx="1">
                  <c:v>0.3</c:v>
                </c:pt>
              </c:numCache>
            </c:numRef>
          </c:xVal>
          <c:yVal>
            <c:numRef>
              <c:f>Matrix!$AB$26:$AB$27</c:f>
              <c:numCache>
                <c:formatCode>General</c:formatCode>
                <c:ptCount val="2"/>
                <c:pt idx="0">
                  <c:v>5.0000000000000001E-3</c:v>
                </c:pt>
                <c:pt idx="1">
                  <c:v>0.12444511471441799</c:v>
                </c:pt>
              </c:numCache>
            </c:numRef>
          </c:yVal>
          <c:smooth val="1"/>
        </c:ser>
        <c:ser>
          <c:idx val="3"/>
          <c:order val="3"/>
          <c:tx>
            <c:v>M</c:v>
          </c:tx>
          <c:marker>
            <c:symbol val="diamond"/>
            <c:size val="8"/>
          </c:marker>
          <c:xVal>
            <c:numRef>
              <c:f>Matrix!$AB$19</c:f>
              <c:numCache>
                <c:formatCode>0.00%</c:formatCode>
                <c:ptCount val="1"/>
                <c:pt idx="0">
                  <c:v>5.9020579295180481E-2</c:v>
                </c:pt>
              </c:numCache>
            </c:numRef>
          </c:xVal>
          <c:yVal>
            <c:numRef>
              <c:f>Matrix!$AB$18</c:f>
              <c:numCache>
                <c:formatCode>0.00%</c:formatCode>
                <c:ptCount val="1"/>
                <c:pt idx="0">
                  <c:v>2.8499066214747456E-2</c:v>
                </c:pt>
              </c:numCache>
            </c:numRef>
          </c:yVal>
          <c:smooth val="1"/>
        </c:ser>
        <c:ser>
          <c:idx val="4"/>
          <c:order val="4"/>
          <c:tx>
            <c:v>Rq</c:v>
          </c:tx>
          <c:marker>
            <c:symbol val="circle"/>
            <c:size val="10"/>
          </c:marker>
          <c:xVal>
            <c:numRef>
              <c:f>Matrix!$Z$37</c:f>
              <c:numCache>
                <c:formatCode>General</c:formatCode>
                <c:ptCount val="1"/>
                <c:pt idx="0">
                  <c:v>3.767420719348024E-2</c:v>
                </c:pt>
              </c:numCache>
            </c:numRef>
          </c:xVal>
          <c:yVal>
            <c:numRef>
              <c:f>Matrix!$AB$15</c:f>
              <c:numCache>
                <c:formatCode>0.00%</c:formatCode>
                <c:ptCount val="1"/>
                <c:pt idx="0">
                  <c:v>0.02</c:v>
                </c:pt>
              </c:numCache>
            </c:numRef>
          </c:yVal>
          <c:smooth val="1"/>
        </c:ser>
        <c:axId val="126398848"/>
        <c:axId val="126400384"/>
      </c:scatterChart>
      <c:valAx>
        <c:axId val="126398848"/>
        <c:scaling>
          <c:orientation val="minMax"/>
        </c:scaling>
        <c:axPos val="b"/>
        <c:numFmt formatCode="General" sourceLinked="1"/>
        <c:tickLblPos val="nextTo"/>
        <c:crossAx val="126400384"/>
        <c:crosses val="autoZero"/>
        <c:crossBetween val="midCat"/>
      </c:valAx>
      <c:valAx>
        <c:axId val="126400384"/>
        <c:scaling>
          <c:orientation val="minMax"/>
        </c:scaling>
        <c:axPos val="l"/>
        <c:majorGridlines/>
        <c:numFmt formatCode="General" sourceLinked="1"/>
        <c:tickLblPos val="nextTo"/>
        <c:crossAx val="126398848"/>
        <c:crosses val="autoZero"/>
        <c:crossBetween val="midCat"/>
      </c:valAx>
    </c:plotArea>
    <c:legend>
      <c:legendPos val="b"/>
      <c:layout/>
    </c:legend>
    <c:plotVisOnly val="1"/>
  </c:chart>
  <c:printSettings>
    <c:headerFooter/>
    <c:pageMargins b="0.75000000000000078" l="0.70000000000000062" r="0.70000000000000062" t="0.75000000000000078"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5.9940241973039314E-2"/>
          <c:y val="0.16199670252073473"/>
          <c:w val="0.8082264885396907"/>
          <c:h val="0.80323364999863855"/>
        </c:manualLayout>
      </c:layout>
      <c:scatterChart>
        <c:scatterStyle val="lineMarker"/>
        <c:ser>
          <c:idx val="0"/>
          <c:order val="0"/>
          <c:tx>
            <c:v>Stock L</c:v>
          </c:tx>
          <c:spPr>
            <a:ln w="25400">
              <a:solidFill>
                <a:srgbClr val="000080"/>
              </a:solidFill>
              <a:prstDash val="solid"/>
            </a:ln>
          </c:spPr>
          <c:marker>
            <c:symbol val="circle"/>
            <c:size val="7"/>
            <c:spPr>
              <a:solidFill>
                <a:srgbClr val="000080"/>
              </a:solidFill>
              <a:ln>
                <a:solidFill>
                  <a:srgbClr val="000080"/>
                </a:solidFill>
                <a:prstDash val="solid"/>
              </a:ln>
            </c:spPr>
          </c:marker>
          <c:xVal>
            <c:numRef>
              <c:f>'Estimating Beta'!$B$39:$B$41</c:f>
              <c:numCache>
                <c:formatCode>0.0%</c:formatCode>
                <c:ptCount val="3"/>
                <c:pt idx="0">
                  <c:v>0.19</c:v>
                </c:pt>
                <c:pt idx="1">
                  <c:v>0.25</c:v>
                </c:pt>
                <c:pt idx="2">
                  <c:v>-0.15</c:v>
                </c:pt>
              </c:numCache>
            </c:numRef>
          </c:xVal>
          <c:yVal>
            <c:numRef>
              <c:f>'Estimating Beta'!$E$39:$E$41</c:f>
              <c:numCache>
                <c:formatCode>0.0%</c:formatCode>
                <c:ptCount val="3"/>
                <c:pt idx="0">
                  <c:v>0.12</c:v>
                </c:pt>
                <c:pt idx="1">
                  <c:v>0.15</c:v>
                </c:pt>
                <c:pt idx="2">
                  <c:v>-0.05</c:v>
                </c:pt>
              </c:numCache>
            </c:numRef>
          </c:yVal>
        </c:ser>
        <c:ser>
          <c:idx val="1"/>
          <c:order val="1"/>
          <c:tx>
            <c:v>Stock A</c:v>
          </c:tx>
          <c:spPr>
            <a:ln w="25400">
              <a:solidFill>
                <a:srgbClr val="FF00FF"/>
              </a:solidFill>
              <a:prstDash val="solid"/>
            </a:ln>
          </c:spPr>
          <c:marker>
            <c:symbol val="circle"/>
            <c:size val="7"/>
            <c:spPr>
              <a:solidFill>
                <a:srgbClr val="FF00FF"/>
              </a:solidFill>
              <a:ln>
                <a:solidFill>
                  <a:srgbClr val="FF00FF"/>
                </a:solidFill>
                <a:prstDash val="solid"/>
              </a:ln>
            </c:spPr>
          </c:marker>
          <c:xVal>
            <c:numRef>
              <c:f>'Estimating Beta'!$B$39:$B$41</c:f>
              <c:numCache>
                <c:formatCode>0.0%</c:formatCode>
                <c:ptCount val="3"/>
                <c:pt idx="0">
                  <c:v>0.19</c:v>
                </c:pt>
                <c:pt idx="1">
                  <c:v>0.25</c:v>
                </c:pt>
                <c:pt idx="2">
                  <c:v>-0.15</c:v>
                </c:pt>
              </c:numCache>
            </c:numRef>
          </c:xVal>
          <c:yVal>
            <c:numRef>
              <c:f>'Estimating Beta'!$D$39:$D$41</c:f>
              <c:numCache>
                <c:formatCode>0.0%</c:formatCode>
                <c:ptCount val="3"/>
                <c:pt idx="0">
                  <c:v>0.19</c:v>
                </c:pt>
                <c:pt idx="1">
                  <c:v>0.25</c:v>
                </c:pt>
                <c:pt idx="2">
                  <c:v>-0.15</c:v>
                </c:pt>
              </c:numCache>
            </c:numRef>
          </c:yVal>
        </c:ser>
        <c:ser>
          <c:idx val="2"/>
          <c:order val="2"/>
          <c:tx>
            <c:v>Stock H</c:v>
          </c:tx>
          <c:spPr>
            <a:ln w="25400">
              <a:solidFill>
                <a:srgbClr val="008000"/>
              </a:solidFill>
              <a:prstDash val="solid"/>
            </a:ln>
          </c:spPr>
          <c:marker>
            <c:symbol val="circle"/>
            <c:size val="7"/>
            <c:spPr>
              <a:solidFill>
                <a:srgbClr val="339966"/>
              </a:solidFill>
              <a:ln>
                <a:solidFill>
                  <a:srgbClr val="008000"/>
                </a:solidFill>
                <a:prstDash val="solid"/>
              </a:ln>
            </c:spPr>
          </c:marker>
          <c:xVal>
            <c:numRef>
              <c:f>'Estimating Beta'!$B$39:$B$41</c:f>
              <c:numCache>
                <c:formatCode>0.0%</c:formatCode>
                <c:ptCount val="3"/>
                <c:pt idx="0">
                  <c:v>0.19</c:v>
                </c:pt>
                <c:pt idx="1">
                  <c:v>0.25</c:v>
                </c:pt>
                <c:pt idx="2">
                  <c:v>-0.15</c:v>
                </c:pt>
              </c:numCache>
            </c:numRef>
          </c:xVal>
          <c:yVal>
            <c:numRef>
              <c:f>'Estimating Beta'!$C$39:$C$41</c:f>
              <c:numCache>
                <c:formatCode>0.0%</c:formatCode>
                <c:ptCount val="3"/>
                <c:pt idx="0">
                  <c:v>0.26</c:v>
                </c:pt>
                <c:pt idx="1">
                  <c:v>0.35</c:v>
                </c:pt>
                <c:pt idx="2">
                  <c:v>-0.25</c:v>
                </c:pt>
              </c:numCache>
            </c:numRef>
          </c:yVal>
        </c:ser>
        <c:axId val="126598144"/>
        <c:axId val="126756352"/>
      </c:scatterChart>
      <c:valAx>
        <c:axId val="126598144"/>
        <c:scaling>
          <c:orientation val="minMax"/>
          <c:min val="-0.4"/>
        </c:scaling>
        <c:axPos val="b"/>
        <c:title>
          <c:tx>
            <c:rich>
              <a:bodyPr/>
              <a:lstStyle/>
              <a:p>
                <a:pPr>
                  <a:defRPr sz="925" b="1" i="0" u="none" strike="noStrike" baseline="0">
                    <a:solidFill>
                      <a:srgbClr val="000000"/>
                    </a:solidFill>
                    <a:latin typeface="Times New Roman"/>
                    <a:ea typeface="Times New Roman"/>
                    <a:cs typeface="Times New Roman"/>
                  </a:defRPr>
                </a:pPr>
                <a:r>
                  <a:rPr lang="en-US"/>
                  <a:t>Return on the Market</a:t>
                </a:r>
              </a:p>
            </c:rich>
          </c:tx>
          <c:layout>
            <c:manualLayout>
              <c:xMode val="edge"/>
              <c:yMode val="edge"/>
              <c:x val="0.66901044266682841"/>
              <c:y val="0.62548726806616817"/>
            </c:manualLayout>
          </c:layout>
          <c:spPr>
            <a:noFill/>
            <a:ln w="25400">
              <a:noFill/>
            </a:ln>
          </c:spPr>
        </c:title>
        <c:numFmt formatCode="0%" sourceLinked="0"/>
        <c:majorTickMark val="none"/>
        <c:minorTickMark val="in"/>
        <c:tickLblPos val="nextTo"/>
        <c:spPr>
          <a:ln w="25400">
            <a:solidFill>
              <a:srgbClr val="333333"/>
            </a:solidFill>
            <a:prstDash val="solid"/>
          </a:ln>
        </c:spPr>
        <c:txPr>
          <a:bodyPr rot="0" vert="horz"/>
          <a:lstStyle/>
          <a:p>
            <a:pPr>
              <a:defRPr sz="800" b="1" i="0" u="none" strike="noStrike" baseline="0">
                <a:solidFill>
                  <a:srgbClr val="333333"/>
                </a:solidFill>
                <a:latin typeface="Times New Roman"/>
                <a:ea typeface="Times New Roman"/>
                <a:cs typeface="Times New Roman"/>
              </a:defRPr>
            </a:pPr>
            <a:endParaRPr lang="en-US"/>
          </a:p>
        </c:txPr>
        <c:crossAx val="126756352"/>
        <c:crosses val="autoZero"/>
        <c:crossBetween val="midCat"/>
        <c:majorUnit val="0.4"/>
        <c:minorUnit val="0.1"/>
      </c:valAx>
      <c:valAx>
        <c:axId val="126756352"/>
        <c:scaling>
          <c:orientation val="minMax"/>
          <c:max val="0.4"/>
          <c:min val="-0.4"/>
        </c:scaling>
        <c:axPos val="l"/>
        <c:majorGridlines>
          <c:spPr>
            <a:ln w="3175">
              <a:solidFill>
                <a:srgbClr val="FFFFCC"/>
              </a:solidFill>
              <a:prstDash val="solid"/>
            </a:ln>
          </c:spPr>
        </c:majorGridlines>
        <c:title>
          <c:tx>
            <c:rich>
              <a:bodyPr rot="0" vert="horz"/>
              <a:lstStyle/>
              <a:p>
                <a:pPr algn="ctr">
                  <a:defRPr sz="950" b="1" i="0" u="none" strike="noStrike" baseline="0">
                    <a:solidFill>
                      <a:srgbClr val="000000"/>
                    </a:solidFill>
                    <a:latin typeface="Times New Roman"/>
                    <a:ea typeface="Times New Roman"/>
                    <a:cs typeface="Times New Roman"/>
                  </a:defRPr>
                </a:pPr>
                <a:r>
                  <a:rPr lang="en-US"/>
                  <a:t>Returns on Stocks 
H, A,  and L</a:t>
                </a:r>
              </a:p>
            </c:rich>
          </c:tx>
          <c:layout>
            <c:manualLayout>
              <c:xMode val="edge"/>
              <c:yMode val="edge"/>
              <c:x val="0.41184746904056135"/>
              <c:y val="1.1249771008384373E-2"/>
            </c:manualLayout>
          </c:layout>
          <c:spPr>
            <a:noFill/>
            <a:ln w="25400">
              <a:noFill/>
            </a:ln>
          </c:spPr>
        </c:title>
        <c:numFmt formatCode="0%" sourceLinked="0"/>
        <c:majorTickMark val="none"/>
        <c:minorTickMark val="in"/>
        <c:tickLblPos val="nextTo"/>
        <c:spPr>
          <a:ln w="25400">
            <a:solidFill>
              <a:srgbClr val="333333"/>
            </a:solidFill>
            <a:prstDash val="solid"/>
          </a:ln>
        </c:spPr>
        <c:txPr>
          <a:bodyPr rot="0" vert="horz"/>
          <a:lstStyle/>
          <a:p>
            <a:pPr>
              <a:defRPr sz="900" b="1" i="0" u="none" strike="noStrike" baseline="0">
                <a:solidFill>
                  <a:srgbClr val="333333"/>
                </a:solidFill>
                <a:latin typeface="Times New Roman"/>
                <a:ea typeface="Times New Roman"/>
                <a:cs typeface="Times New Roman"/>
              </a:defRPr>
            </a:pPr>
            <a:endParaRPr lang="en-US"/>
          </a:p>
        </c:txPr>
        <c:crossAx val="126598144"/>
        <c:crosses val="autoZero"/>
        <c:crossBetween val="midCat"/>
        <c:majorUnit val="0.4"/>
        <c:minorUnit val="0.1"/>
      </c:valAx>
      <c:spPr>
        <a:solidFill>
          <a:srgbClr val="FFFFCC"/>
        </a:solidFill>
        <a:ln w="25400">
          <a:noFill/>
        </a:ln>
      </c:spPr>
    </c:plotArea>
    <c:plotVisOnly val="1"/>
    <c:dispBlanksAs val="gap"/>
  </c:chart>
  <c:spPr>
    <a:solidFill>
      <a:srgbClr val="FFFFCC"/>
    </a:solidFill>
    <a:ln w="3175">
      <a:solidFill>
        <a:srgbClr val="FFFFCC"/>
      </a:solidFill>
      <a:prstDash val="solid"/>
    </a:ln>
  </c:spPr>
  <c:txPr>
    <a:bodyPr/>
    <a:lstStyle/>
    <a:p>
      <a:pPr>
        <a:defRPr sz="925" b="0" i="0" u="none" strike="noStrike" baseline="0">
          <a:solidFill>
            <a:srgbClr val="FFFFCC"/>
          </a:solidFill>
          <a:latin typeface="Times New Roman"/>
          <a:ea typeface="Times New Roman"/>
          <a:cs typeface="Times New Roman"/>
        </a:defRPr>
      </a:pPr>
      <a:endParaRPr lang="en-US"/>
    </a:p>
  </c:txPr>
  <c:printSettings>
    <c:headerFooter alignWithMargins="0"/>
    <c:pageMargins b="1" l="0.750000000000002" r="0.750000000000002" t="1"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6.3283772718143103E-2"/>
          <c:y val="4.1888867008642416E-2"/>
          <c:w val="0.8746141921815187"/>
          <c:h val="0.83219215790502943"/>
        </c:manualLayout>
      </c:layout>
      <c:scatterChart>
        <c:scatterStyle val="lineMarker"/>
        <c:ser>
          <c:idx val="0"/>
          <c:order val="0"/>
          <c:spPr>
            <a:ln w="28575">
              <a:noFill/>
            </a:ln>
          </c:spPr>
          <c:marker>
            <c:symbol val="diamond"/>
            <c:size val="5"/>
            <c:spPr>
              <a:solidFill>
                <a:srgbClr val="000080"/>
              </a:solidFill>
              <a:ln>
                <a:solidFill>
                  <a:srgbClr val="000080"/>
                </a:solidFill>
                <a:prstDash val="solid"/>
              </a:ln>
            </c:spPr>
          </c:marker>
          <c:errBars>
            <c:errDir val="y"/>
            <c:errBarType val="minus"/>
            <c:errValType val="percentage"/>
            <c:val val="100"/>
            <c:spPr>
              <a:ln w="12700">
                <a:solidFill>
                  <a:srgbClr val="000000"/>
                </a:solidFill>
                <a:prstDash val="solid"/>
              </a:ln>
            </c:spPr>
          </c:errBars>
          <c:xVal>
            <c:numRef>
              <c:f>'Estimating Beta'!$C$42:$E$42</c:f>
              <c:numCache>
                <c:formatCode>0.0%</c:formatCode>
                <c:ptCount val="3"/>
                <c:pt idx="0">
                  <c:v>0.12</c:v>
                </c:pt>
                <c:pt idx="1">
                  <c:v>9.6666666666666679E-2</c:v>
                </c:pt>
                <c:pt idx="2">
                  <c:v>7.3333333333333348E-2</c:v>
                </c:pt>
              </c:numCache>
            </c:numRef>
          </c:xVal>
          <c:yVal>
            <c:numRef>
              <c:f>'Estimating Beta'!$J$71:$L$71</c:f>
              <c:numCache>
                <c:formatCode>General</c:formatCode>
                <c:ptCount val="3"/>
                <c:pt idx="0">
                  <c:v>1.2329251877333165</c:v>
                </c:pt>
                <c:pt idx="1">
                  <c:v>1.8493877815999751</c:v>
                </c:pt>
                <c:pt idx="2">
                  <c:v>3.6987755631999493</c:v>
                </c:pt>
              </c:numCache>
            </c:numRef>
          </c:yVal>
        </c:ser>
        <c:axId val="129050112"/>
        <c:axId val="129051648"/>
      </c:scatterChart>
      <c:valAx>
        <c:axId val="129050112"/>
        <c:scaling>
          <c:orientation val="minMax"/>
          <c:max val="1"/>
          <c:min val="-0.8"/>
        </c:scaling>
        <c:axPos val="b"/>
        <c:numFmt formatCode="0.0%"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9051648"/>
        <c:crosses val="autoZero"/>
        <c:crossBetween val="midCat"/>
        <c:majorUnit val="0.2"/>
        <c:minorUnit val="0.1"/>
      </c:valAx>
      <c:valAx>
        <c:axId val="129051648"/>
        <c:scaling>
          <c:orientation val="minMax"/>
        </c:scaling>
        <c:axPos val="l"/>
        <c:numFmt formatCode="General" sourceLinked="1"/>
        <c:majorTickMark val="none"/>
        <c:tickLblPos val="none"/>
        <c:spPr>
          <a:ln w="9525">
            <a:noFill/>
          </a:ln>
        </c:spPr>
        <c:crossAx val="129050112"/>
        <c:crossesAt val="-0.8"/>
        <c:crossBetween val="midCat"/>
      </c:valAx>
      <c:spPr>
        <a:noFill/>
        <a:ln w="25400">
          <a:noFill/>
        </a:ln>
      </c:spPr>
    </c:plotArea>
    <c:plotVisOnly val="1"/>
    <c:dispBlanksAs val="gap"/>
  </c:chart>
  <c:spPr>
    <a:solidFill>
      <a:srgbClr val="FF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2" r="0.750000000000002"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smoothMarker"/>
        <c:ser>
          <c:idx val="0"/>
          <c:order val="0"/>
          <c:tx>
            <c:v>PDF1</c:v>
          </c:tx>
          <c:marker>
            <c:symbol val="none"/>
          </c:marker>
          <c:xVal>
            <c:numRef>
              <c:f>'Single Asset Return&amp;Risk'!$C$32:$C$192</c:f>
              <c:numCache>
                <c:formatCode>General</c:formatCode>
                <c:ptCount val="161"/>
                <c:pt idx="0">
                  <c:v>-8</c:v>
                </c:pt>
                <c:pt idx="1">
                  <c:v>-7.9</c:v>
                </c:pt>
                <c:pt idx="2">
                  <c:v>-7.8000000000000007</c:v>
                </c:pt>
                <c:pt idx="3">
                  <c:v>-7.7000000000000011</c:v>
                </c:pt>
                <c:pt idx="4">
                  <c:v>-7.6000000000000014</c:v>
                </c:pt>
                <c:pt idx="5">
                  <c:v>-7.5000000000000018</c:v>
                </c:pt>
                <c:pt idx="6">
                  <c:v>-7.4000000000000021</c:v>
                </c:pt>
                <c:pt idx="7">
                  <c:v>-7.3000000000000025</c:v>
                </c:pt>
                <c:pt idx="8">
                  <c:v>-7.2000000000000028</c:v>
                </c:pt>
                <c:pt idx="9">
                  <c:v>-7.1000000000000032</c:v>
                </c:pt>
                <c:pt idx="10">
                  <c:v>-7.0000000000000036</c:v>
                </c:pt>
                <c:pt idx="11">
                  <c:v>-6.9000000000000039</c:v>
                </c:pt>
                <c:pt idx="12">
                  <c:v>-6.8000000000000043</c:v>
                </c:pt>
                <c:pt idx="13">
                  <c:v>-6.7000000000000046</c:v>
                </c:pt>
                <c:pt idx="14">
                  <c:v>-6.600000000000005</c:v>
                </c:pt>
                <c:pt idx="15">
                  <c:v>-6.5000000000000053</c:v>
                </c:pt>
                <c:pt idx="16">
                  <c:v>-6.4000000000000057</c:v>
                </c:pt>
                <c:pt idx="17">
                  <c:v>-6.300000000000006</c:v>
                </c:pt>
                <c:pt idx="18">
                  <c:v>-6.2000000000000064</c:v>
                </c:pt>
                <c:pt idx="19">
                  <c:v>-6.1000000000000068</c:v>
                </c:pt>
                <c:pt idx="20">
                  <c:v>-6.0000000000000071</c:v>
                </c:pt>
                <c:pt idx="21">
                  <c:v>-5.9000000000000075</c:v>
                </c:pt>
                <c:pt idx="22">
                  <c:v>-5.8000000000000078</c:v>
                </c:pt>
                <c:pt idx="23">
                  <c:v>-5.7000000000000082</c:v>
                </c:pt>
                <c:pt idx="24">
                  <c:v>-5.6000000000000085</c:v>
                </c:pt>
                <c:pt idx="25">
                  <c:v>-5.5000000000000089</c:v>
                </c:pt>
                <c:pt idx="26">
                  <c:v>-5.4000000000000092</c:v>
                </c:pt>
                <c:pt idx="27">
                  <c:v>-5.3000000000000096</c:v>
                </c:pt>
                <c:pt idx="28">
                  <c:v>-5.2000000000000099</c:v>
                </c:pt>
                <c:pt idx="29">
                  <c:v>-5.1000000000000103</c:v>
                </c:pt>
                <c:pt idx="30">
                  <c:v>-5.0000000000000107</c:v>
                </c:pt>
                <c:pt idx="31">
                  <c:v>-4.900000000000011</c:v>
                </c:pt>
                <c:pt idx="32">
                  <c:v>-4.8000000000000114</c:v>
                </c:pt>
                <c:pt idx="33">
                  <c:v>-4.7000000000000117</c:v>
                </c:pt>
                <c:pt idx="34">
                  <c:v>-4.6000000000000121</c:v>
                </c:pt>
                <c:pt idx="35">
                  <c:v>-4.5000000000000124</c:v>
                </c:pt>
                <c:pt idx="36">
                  <c:v>-4.4000000000000128</c:v>
                </c:pt>
                <c:pt idx="37">
                  <c:v>-4.3000000000000131</c:v>
                </c:pt>
                <c:pt idx="38">
                  <c:v>-4.2000000000000135</c:v>
                </c:pt>
                <c:pt idx="39">
                  <c:v>-4.1000000000000139</c:v>
                </c:pt>
                <c:pt idx="40">
                  <c:v>-4.0000000000000142</c:v>
                </c:pt>
                <c:pt idx="41">
                  <c:v>-3.9000000000000141</c:v>
                </c:pt>
                <c:pt idx="42">
                  <c:v>-3.800000000000014</c:v>
                </c:pt>
                <c:pt idx="43">
                  <c:v>-3.7000000000000139</c:v>
                </c:pt>
                <c:pt idx="44">
                  <c:v>-3.6000000000000139</c:v>
                </c:pt>
                <c:pt idx="45">
                  <c:v>-3.5000000000000138</c:v>
                </c:pt>
                <c:pt idx="46">
                  <c:v>-3.4000000000000137</c:v>
                </c:pt>
                <c:pt idx="47">
                  <c:v>-3.3000000000000136</c:v>
                </c:pt>
                <c:pt idx="48">
                  <c:v>-3.2000000000000135</c:v>
                </c:pt>
                <c:pt idx="49">
                  <c:v>-3.1000000000000134</c:v>
                </c:pt>
                <c:pt idx="50">
                  <c:v>-3.0000000000000133</c:v>
                </c:pt>
                <c:pt idx="51">
                  <c:v>-2.9000000000000132</c:v>
                </c:pt>
                <c:pt idx="52">
                  <c:v>-2.8000000000000131</c:v>
                </c:pt>
                <c:pt idx="53">
                  <c:v>-2.7000000000000131</c:v>
                </c:pt>
                <c:pt idx="54">
                  <c:v>-2.600000000000013</c:v>
                </c:pt>
                <c:pt idx="55">
                  <c:v>-2.5000000000000129</c:v>
                </c:pt>
                <c:pt idx="56">
                  <c:v>-2.4000000000000128</c:v>
                </c:pt>
                <c:pt idx="57">
                  <c:v>-2.3000000000000127</c:v>
                </c:pt>
                <c:pt idx="58">
                  <c:v>-2.2000000000000126</c:v>
                </c:pt>
                <c:pt idx="59">
                  <c:v>-2.1000000000000125</c:v>
                </c:pt>
                <c:pt idx="60">
                  <c:v>-2.0000000000000124</c:v>
                </c:pt>
                <c:pt idx="61">
                  <c:v>-1.9000000000000123</c:v>
                </c:pt>
                <c:pt idx="62">
                  <c:v>-1.8000000000000123</c:v>
                </c:pt>
                <c:pt idx="63">
                  <c:v>-1.7000000000000122</c:v>
                </c:pt>
                <c:pt idx="64">
                  <c:v>-1.6000000000000121</c:v>
                </c:pt>
                <c:pt idx="65">
                  <c:v>-1.500000000000012</c:v>
                </c:pt>
                <c:pt idx="66">
                  <c:v>-1.4000000000000119</c:v>
                </c:pt>
                <c:pt idx="67">
                  <c:v>-1.3000000000000118</c:v>
                </c:pt>
                <c:pt idx="68">
                  <c:v>-1.2000000000000117</c:v>
                </c:pt>
                <c:pt idx="69">
                  <c:v>-1.1000000000000116</c:v>
                </c:pt>
                <c:pt idx="70">
                  <c:v>-1.0000000000000115</c:v>
                </c:pt>
                <c:pt idx="71">
                  <c:v>-0.90000000000001157</c:v>
                </c:pt>
                <c:pt idx="72">
                  <c:v>-0.80000000000001159</c:v>
                </c:pt>
                <c:pt idx="73">
                  <c:v>-0.70000000000001161</c:v>
                </c:pt>
                <c:pt idx="74">
                  <c:v>-0.60000000000001164</c:v>
                </c:pt>
                <c:pt idx="75">
                  <c:v>-0.50000000000001166</c:v>
                </c:pt>
                <c:pt idx="76">
                  <c:v>-0.40000000000001168</c:v>
                </c:pt>
                <c:pt idx="77">
                  <c:v>-0.3000000000000117</c:v>
                </c:pt>
                <c:pt idx="78">
                  <c:v>-0.2000000000000117</c:v>
                </c:pt>
                <c:pt idx="79">
                  <c:v>-0.10000000000001169</c:v>
                </c:pt>
                <c:pt idx="80">
                  <c:v>0</c:v>
                </c:pt>
                <c:pt idx="81">
                  <c:v>0.1</c:v>
                </c:pt>
                <c:pt idx="82">
                  <c:v>0.2</c:v>
                </c:pt>
                <c:pt idx="83">
                  <c:v>0.30000000000000004</c:v>
                </c:pt>
                <c:pt idx="84">
                  <c:v>0.4</c:v>
                </c:pt>
                <c:pt idx="85">
                  <c:v>0.5</c:v>
                </c:pt>
                <c:pt idx="86">
                  <c:v>0.6</c:v>
                </c:pt>
                <c:pt idx="87">
                  <c:v>0.7</c:v>
                </c:pt>
                <c:pt idx="88">
                  <c:v>0.79999999999999993</c:v>
                </c:pt>
                <c:pt idx="89">
                  <c:v>0.89999999999999991</c:v>
                </c:pt>
                <c:pt idx="90">
                  <c:v>0.99999999999999989</c:v>
                </c:pt>
                <c:pt idx="91">
                  <c:v>1.0999999999999999</c:v>
                </c:pt>
                <c:pt idx="92">
                  <c:v>1.2</c:v>
                </c:pt>
                <c:pt idx="93">
                  <c:v>1.3</c:v>
                </c:pt>
                <c:pt idx="94">
                  <c:v>1.4000000000000001</c:v>
                </c:pt>
                <c:pt idx="95">
                  <c:v>1.5000000000000002</c:v>
                </c:pt>
                <c:pt idx="96">
                  <c:v>1.6000000000000003</c:v>
                </c:pt>
                <c:pt idx="97">
                  <c:v>1.7000000000000004</c:v>
                </c:pt>
                <c:pt idx="98">
                  <c:v>1.8000000000000005</c:v>
                </c:pt>
                <c:pt idx="99">
                  <c:v>1.9000000000000006</c:v>
                </c:pt>
                <c:pt idx="100">
                  <c:v>2.0000000000000004</c:v>
                </c:pt>
                <c:pt idx="101">
                  <c:v>2.1000000000000005</c:v>
                </c:pt>
                <c:pt idx="102">
                  <c:v>2.2000000000000006</c:v>
                </c:pt>
                <c:pt idx="103">
                  <c:v>2.3000000000000007</c:v>
                </c:pt>
                <c:pt idx="104">
                  <c:v>2.4000000000000008</c:v>
                </c:pt>
                <c:pt idx="105">
                  <c:v>2.5000000000000009</c:v>
                </c:pt>
                <c:pt idx="106">
                  <c:v>2.600000000000001</c:v>
                </c:pt>
                <c:pt idx="107">
                  <c:v>2.7000000000000011</c:v>
                </c:pt>
                <c:pt idx="108">
                  <c:v>2.8000000000000012</c:v>
                </c:pt>
                <c:pt idx="109">
                  <c:v>2.9000000000000012</c:v>
                </c:pt>
                <c:pt idx="110">
                  <c:v>3.0000000000000013</c:v>
                </c:pt>
                <c:pt idx="111">
                  <c:v>3.1000000000000014</c:v>
                </c:pt>
                <c:pt idx="112">
                  <c:v>3.2000000000000015</c:v>
                </c:pt>
                <c:pt idx="113">
                  <c:v>3.3000000000000016</c:v>
                </c:pt>
                <c:pt idx="114">
                  <c:v>3.4000000000000017</c:v>
                </c:pt>
                <c:pt idx="115">
                  <c:v>3.5000000000000018</c:v>
                </c:pt>
                <c:pt idx="116">
                  <c:v>3.6000000000000019</c:v>
                </c:pt>
                <c:pt idx="117">
                  <c:v>3.700000000000002</c:v>
                </c:pt>
                <c:pt idx="118">
                  <c:v>3.800000000000002</c:v>
                </c:pt>
                <c:pt idx="119">
                  <c:v>3.9000000000000021</c:v>
                </c:pt>
                <c:pt idx="120">
                  <c:v>4.0000000000000018</c:v>
                </c:pt>
                <c:pt idx="121">
                  <c:v>4.1000000000000014</c:v>
                </c:pt>
                <c:pt idx="122">
                  <c:v>4.2000000000000011</c:v>
                </c:pt>
                <c:pt idx="123">
                  <c:v>4.3000000000000007</c:v>
                </c:pt>
                <c:pt idx="124">
                  <c:v>4.4000000000000004</c:v>
                </c:pt>
                <c:pt idx="125">
                  <c:v>4.5</c:v>
                </c:pt>
                <c:pt idx="126">
                  <c:v>4.5999999999999996</c:v>
                </c:pt>
                <c:pt idx="127">
                  <c:v>4.6999999999999993</c:v>
                </c:pt>
                <c:pt idx="128">
                  <c:v>4.7999999999999989</c:v>
                </c:pt>
                <c:pt idx="129">
                  <c:v>4.8999999999999986</c:v>
                </c:pt>
                <c:pt idx="130">
                  <c:v>4.9999999999999982</c:v>
                </c:pt>
                <c:pt idx="131">
                  <c:v>5.0999999999999979</c:v>
                </c:pt>
                <c:pt idx="132">
                  <c:v>5.1999999999999975</c:v>
                </c:pt>
                <c:pt idx="133">
                  <c:v>5.2999999999999972</c:v>
                </c:pt>
                <c:pt idx="134">
                  <c:v>5.3999999999999968</c:v>
                </c:pt>
                <c:pt idx="135">
                  <c:v>5.4999999999999964</c:v>
                </c:pt>
                <c:pt idx="136">
                  <c:v>5.5999999999999961</c:v>
                </c:pt>
                <c:pt idx="137">
                  <c:v>5.6999999999999957</c:v>
                </c:pt>
                <c:pt idx="138">
                  <c:v>5.7999999999999954</c:v>
                </c:pt>
                <c:pt idx="139">
                  <c:v>5.899999999999995</c:v>
                </c:pt>
                <c:pt idx="140">
                  <c:v>5.9999999999999947</c:v>
                </c:pt>
                <c:pt idx="141">
                  <c:v>6.0999999999999943</c:v>
                </c:pt>
                <c:pt idx="142">
                  <c:v>6.199999999999994</c:v>
                </c:pt>
                <c:pt idx="143">
                  <c:v>6.2999999999999936</c:v>
                </c:pt>
                <c:pt idx="144">
                  <c:v>6.3999999999999932</c:v>
                </c:pt>
                <c:pt idx="145">
                  <c:v>6.4999999999999929</c:v>
                </c:pt>
                <c:pt idx="146">
                  <c:v>6.5999999999999925</c:v>
                </c:pt>
                <c:pt idx="147">
                  <c:v>6.6999999999999922</c:v>
                </c:pt>
                <c:pt idx="148">
                  <c:v>6.7999999999999918</c:v>
                </c:pt>
                <c:pt idx="149">
                  <c:v>6.8999999999999915</c:v>
                </c:pt>
                <c:pt idx="150">
                  <c:v>6.9999999999999911</c:v>
                </c:pt>
                <c:pt idx="151">
                  <c:v>7.0999999999999908</c:v>
                </c:pt>
                <c:pt idx="152">
                  <c:v>7.1999999999999904</c:v>
                </c:pt>
                <c:pt idx="153">
                  <c:v>7.2999999999999901</c:v>
                </c:pt>
                <c:pt idx="154">
                  <c:v>7.3999999999999897</c:v>
                </c:pt>
                <c:pt idx="155">
                  <c:v>7.4999999999999893</c:v>
                </c:pt>
                <c:pt idx="156">
                  <c:v>7.599999999999989</c:v>
                </c:pt>
                <c:pt idx="157">
                  <c:v>7.6999999999999886</c:v>
                </c:pt>
                <c:pt idx="158">
                  <c:v>7.7999999999999883</c:v>
                </c:pt>
                <c:pt idx="159">
                  <c:v>7.8999999999999879</c:v>
                </c:pt>
                <c:pt idx="160">
                  <c:v>7.9999999999999876</c:v>
                </c:pt>
              </c:numCache>
            </c:numRef>
          </c:xVal>
          <c:yVal>
            <c:numRef>
              <c:f>'Single Asset Return&amp;Risk'!$D$32:$D$192</c:f>
              <c:numCache>
                <c:formatCode>0.00%</c:formatCode>
                <c:ptCount val="161"/>
                <c:pt idx="0">
                  <c:v>6.691511288244267E-5</c:v>
                </c:pt>
                <c:pt idx="1">
                  <c:v>8.1628204383120994E-5</c:v>
                </c:pt>
                <c:pt idx="2">
                  <c:v>9.9327735696386169E-5</c:v>
                </c:pt>
                <c:pt idx="3">
                  <c:v>1.205632901129965E-4</c:v>
                </c:pt>
                <c:pt idx="4">
                  <c:v>1.4597346289572973E-4</c:v>
                </c:pt>
                <c:pt idx="5">
                  <c:v>1.7629784118372205E-4</c:v>
                </c:pt>
                <c:pt idx="6">
                  <c:v>2.1239013527537496E-4</c:v>
                </c:pt>
                <c:pt idx="7">
                  <c:v>2.5523248717209161E-4</c:v>
                </c:pt>
                <c:pt idx="8">
                  <c:v>3.0595096505688459E-4</c:v>
                </c:pt>
                <c:pt idx="9">
                  <c:v>3.6583223141515312E-4</c:v>
                </c:pt>
                <c:pt idx="10">
                  <c:v>4.3634134752287731E-4</c:v>
                </c:pt>
                <c:pt idx="11">
                  <c:v>5.1914064783070181E-4</c:v>
                </c:pt>
                <c:pt idx="12">
                  <c:v>6.1610958423650498E-4</c:v>
                </c:pt>
                <c:pt idx="13">
                  <c:v>7.2936540233336708E-4</c:v>
                </c:pt>
                <c:pt idx="14">
                  <c:v>8.6128446952683281E-4</c:v>
                </c:pt>
                <c:pt idx="15">
                  <c:v>1.0145240286498749E-3</c:v>
                </c:pt>
                <c:pt idx="16">
                  <c:v>1.1920441007324104E-3</c:v>
                </c:pt>
                <c:pt idx="17">
                  <c:v>1.3971292074397097E-3</c:v>
                </c:pt>
                <c:pt idx="18">
                  <c:v>1.6334095280999444E-3</c:v>
                </c:pt>
                <c:pt idx="19">
                  <c:v>1.9048810491108846E-3</c:v>
                </c:pt>
                <c:pt idx="20">
                  <c:v>2.2159242059689799E-3</c:v>
                </c:pt>
                <c:pt idx="21">
                  <c:v>2.5713204615269414E-3</c:v>
                </c:pt>
                <c:pt idx="22">
                  <c:v>2.9762662098878922E-3</c:v>
                </c:pt>
                <c:pt idx="23">
                  <c:v>3.4363833453069457E-3</c:v>
                </c:pt>
                <c:pt idx="24">
                  <c:v>3.9577257914899348E-3</c:v>
                </c:pt>
                <c:pt idx="25">
                  <c:v>4.5467812507954701E-3</c:v>
                </c:pt>
                <c:pt idx="26">
                  <c:v>5.2104674072112325E-3</c:v>
                </c:pt>
                <c:pt idx="27">
                  <c:v>5.9561218038025115E-3</c:v>
                </c:pt>
                <c:pt idx="28">
                  <c:v>6.7914846168427214E-3</c:v>
                </c:pt>
                <c:pt idx="29">
                  <c:v>7.724673567197483E-3</c:v>
                </c:pt>
                <c:pt idx="30">
                  <c:v>8.7641502467841505E-3</c:v>
                </c:pt>
                <c:pt idx="31">
                  <c:v>9.9186771958975264E-3</c:v>
                </c:pt>
                <c:pt idx="32">
                  <c:v>1.1197265147421295E-2</c:v>
                </c:pt>
                <c:pt idx="33">
                  <c:v>1.2609109957597021E-2</c:v>
                </c:pt>
                <c:pt idx="34">
                  <c:v>1.416351887080039E-2</c:v>
                </c:pt>
                <c:pt idx="35">
                  <c:v>1.586982591783348E-2</c:v>
                </c:pt>
                <c:pt idx="36">
                  <c:v>1.7737296423115466E-2</c:v>
                </c:pt>
                <c:pt idx="37">
                  <c:v>1.9775020794684829E-2</c:v>
                </c:pt>
                <c:pt idx="38">
                  <c:v>2.199179799021328E-2</c:v>
                </c:pt>
                <c:pt idx="39">
                  <c:v>2.4396009289591035E-2</c:v>
                </c:pt>
                <c:pt idx="40">
                  <c:v>2.6995483256593639E-2</c:v>
                </c:pt>
                <c:pt idx="41">
                  <c:v>2.9797353034407618E-2</c:v>
                </c:pt>
                <c:pt idx="42">
                  <c:v>3.2807907387337853E-2</c:v>
                </c:pt>
                <c:pt idx="43">
                  <c:v>3.6032437168108528E-2</c:v>
                </c:pt>
                <c:pt idx="44">
                  <c:v>3.9475079150446582E-2</c:v>
                </c:pt>
                <c:pt idx="45">
                  <c:v>4.3138659413255238E-2</c:v>
                </c:pt>
                <c:pt idx="46">
                  <c:v>4.7024538688442911E-2</c:v>
                </c:pt>
                <c:pt idx="47">
                  <c:v>5.1132462281988422E-2</c:v>
                </c:pt>
                <c:pt idx="48">
                  <c:v>5.5460417339727168E-2</c:v>
                </c:pt>
                <c:pt idx="49">
                  <c:v>6.0004500348492175E-2</c:v>
                </c:pt>
                <c:pt idx="50">
                  <c:v>6.4758797832945206E-2</c:v>
                </c:pt>
                <c:pt idx="51">
                  <c:v>6.9715283222679447E-2</c:v>
                </c:pt>
                <c:pt idx="52">
                  <c:v>7.4863732817871731E-2</c:v>
                </c:pt>
                <c:pt idx="53">
                  <c:v>8.019166367095909E-2</c:v>
                </c:pt>
                <c:pt idx="54">
                  <c:v>8.5684296023902956E-2</c:v>
                </c:pt>
                <c:pt idx="55">
                  <c:v>9.1324542694510222E-2</c:v>
                </c:pt>
                <c:pt idx="56">
                  <c:v>9.7093027491605727E-2</c:v>
                </c:pt>
                <c:pt idx="57">
                  <c:v>0.1029681343599866</c:v>
                </c:pt>
                <c:pt idx="58">
                  <c:v>0.1089260885162745</c:v>
                </c:pt>
                <c:pt idx="59">
                  <c:v>0.11494107034211573</c:v>
                </c:pt>
                <c:pt idx="60">
                  <c:v>0.12098536225957092</c:v>
                </c:pt>
                <c:pt idx="61">
                  <c:v>0.12702952823459374</c:v>
                </c:pt>
                <c:pt idx="62">
                  <c:v>0.13304262494937666</c:v>
                </c:pt>
                <c:pt idx="63">
                  <c:v>0.13899244306549749</c:v>
                </c:pt>
                <c:pt idx="64">
                  <c:v>0.14484577638074064</c:v>
                </c:pt>
                <c:pt idx="65">
                  <c:v>0.15056871607740149</c:v>
                </c:pt>
                <c:pt idx="66">
                  <c:v>0.15612696668337997</c:v>
                </c:pt>
                <c:pt idx="67">
                  <c:v>0.16148617983395649</c:v>
                </c:pt>
                <c:pt idx="68">
                  <c:v>0.16661230144589922</c:v>
                </c:pt>
                <c:pt idx="69">
                  <c:v>0.1714719275096914</c:v>
                </c:pt>
                <c:pt idx="70">
                  <c:v>0.17603266338214923</c:v>
                </c:pt>
                <c:pt idx="71">
                  <c:v>0.18026348123082347</c:v>
                </c:pt>
                <c:pt idx="72">
                  <c:v>0.18413507015166122</c:v>
                </c:pt>
                <c:pt idx="73">
                  <c:v>0.18762017345846854</c:v>
                </c:pt>
                <c:pt idx="74">
                  <c:v>0.19069390773026168</c:v>
                </c:pt>
                <c:pt idx="75">
                  <c:v>0.19333405840142431</c:v>
                </c:pt>
                <c:pt idx="76">
                  <c:v>0.19552134698772769</c:v>
                </c:pt>
                <c:pt idx="77">
                  <c:v>0.19723966545394425</c:v>
                </c:pt>
                <c:pt idx="78">
                  <c:v>0.19847627373850577</c:v>
                </c:pt>
                <c:pt idx="79">
                  <c:v>0.19922195704738194</c:v>
                </c:pt>
                <c:pt idx="80">
                  <c:v>0.19947114020071632</c:v>
                </c:pt>
                <c:pt idx="81">
                  <c:v>0.19922195704738199</c:v>
                </c:pt>
                <c:pt idx="82">
                  <c:v>0.19847627373850588</c:v>
                </c:pt>
                <c:pt idx="83">
                  <c:v>0.19723966545394445</c:v>
                </c:pt>
                <c:pt idx="84">
                  <c:v>0.19552134698772791</c:v>
                </c:pt>
                <c:pt idx="85">
                  <c:v>0.19333405840142459</c:v>
                </c:pt>
                <c:pt idx="86">
                  <c:v>0.19069390773026204</c:v>
                </c:pt>
                <c:pt idx="87">
                  <c:v>0.18762017345846893</c:v>
                </c:pt>
                <c:pt idx="88">
                  <c:v>0.18413507015166164</c:v>
                </c:pt>
                <c:pt idx="89">
                  <c:v>0.18026348123082395</c:v>
                </c:pt>
                <c:pt idx="90">
                  <c:v>0.17603266338214973</c:v>
                </c:pt>
                <c:pt idx="91">
                  <c:v>0.17147192750969195</c:v>
                </c:pt>
                <c:pt idx="92">
                  <c:v>0.16661230144589981</c:v>
                </c:pt>
                <c:pt idx="93">
                  <c:v>0.16148617983395713</c:v>
                </c:pt>
                <c:pt idx="94">
                  <c:v>0.15612696668338061</c:v>
                </c:pt>
                <c:pt idx="95">
                  <c:v>0.15056871607740216</c:v>
                </c:pt>
                <c:pt idx="96">
                  <c:v>0.14484577638074134</c:v>
                </c:pt>
                <c:pt idx="97">
                  <c:v>0.13899244306549821</c:v>
                </c:pt>
                <c:pt idx="98">
                  <c:v>0.13304262494937738</c:v>
                </c:pt>
                <c:pt idx="99">
                  <c:v>0.12702952823459446</c:v>
                </c:pt>
                <c:pt idx="100">
                  <c:v>0.12098536225957164</c:v>
                </c:pt>
                <c:pt idx="101">
                  <c:v>0.11494107034211647</c:v>
                </c:pt>
                <c:pt idx="102">
                  <c:v>0.10892608851627524</c:v>
                </c:pt>
                <c:pt idx="103">
                  <c:v>0.10296813435998731</c:v>
                </c:pt>
                <c:pt idx="104">
                  <c:v>9.7093027491606421E-2</c:v>
                </c:pt>
                <c:pt idx="105">
                  <c:v>9.1324542694510888E-2</c:v>
                </c:pt>
                <c:pt idx="106">
                  <c:v>8.5684296023903622E-2</c:v>
                </c:pt>
                <c:pt idx="107">
                  <c:v>8.0191663670959742E-2</c:v>
                </c:pt>
                <c:pt idx="108">
                  <c:v>7.4863732817872355E-2</c:v>
                </c:pt>
                <c:pt idx="109">
                  <c:v>6.9715283222680058E-2</c:v>
                </c:pt>
                <c:pt idx="110">
                  <c:v>6.4758797832945802E-2</c:v>
                </c:pt>
                <c:pt idx="111">
                  <c:v>6.000450034849273E-2</c:v>
                </c:pt>
                <c:pt idx="112">
                  <c:v>5.5460417339727709E-2</c:v>
                </c:pt>
                <c:pt idx="113">
                  <c:v>5.1132462281988929E-2</c:v>
                </c:pt>
                <c:pt idx="114">
                  <c:v>4.7024538688443397E-2</c:v>
                </c:pt>
                <c:pt idx="115">
                  <c:v>4.3138659413255682E-2</c:v>
                </c:pt>
                <c:pt idx="116">
                  <c:v>3.9475079150447012E-2</c:v>
                </c:pt>
                <c:pt idx="117">
                  <c:v>3.6032437168108937E-2</c:v>
                </c:pt>
                <c:pt idx="118">
                  <c:v>3.2807907387338228E-2</c:v>
                </c:pt>
                <c:pt idx="119">
                  <c:v>2.9797353034407968E-2</c:v>
                </c:pt>
                <c:pt idx="120">
                  <c:v>2.6995483256593976E-2</c:v>
                </c:pt>
                <c:pt idx="121">
                  <c:v>2.4396009289591337E-2</c:v>
                </c:pt>
                <c:pt idx="122">
                  <c:v>2.1991797990213575E-2</c:v>
                </c:pt>
                <c:pt idx="123">
                  <c:v>1.9775020794685093E-2</c:v>
                </c:pt>
                <c:pt idx="124">
                  <c:v>1.7737296423115709E-2</c:v>
                </c:pt>
                <c:pt idx="125">
                  <c:v>1.5869825917833709E-2</c:v>
                </c:pt>
                <c:pt idx="126">
                  <c:v>1.4163518870800591E-2</c:v>
                </c:pt>
                <c:pt idx="127">
                  <c:v>1.2609109957597207E-2</c:v>
                </c:pt>
                <c:pt idx="128">
                  <c:v>1.1197265147421464E-2</c:v>
                </c:pt>
                <c:pt idx="129">
                  <c:v>9.9186771958976773E-3</c:v>
                </c:pt>
                <c:pt idx="130">
                  <c:v>8.7641502467842875E-3</c:v>
                </c:pt>
                <c:pt idx="131">
                  <c:v>7.7246735671976062E-3</c:v>
                </c:pt>
                <c:pt idx="132">
                  <c:v>6.7914846168428298E-3</c:v>
                </c:pt>
                <c:pt idx="133">
                  <c:v>5.9561218038026104E-3</c:v>
                </c:pt>
                <c:pt idx="134">
                  <c:v>5.2104674072113201E-3</c:v>
                </c:pt>
                <c:pt idx="135">
                  <c:v>4.5467812507955481E-3</c:v>
                </c:pt>
                <c:pt idx="136">
                  <c:v>3.9577257914900034E-3</c:v>
                </c:pt>
                <c:pt idx="137">
                  <c:v>3.4363833453070064E-3</c:v>
                </c:pt>
                <c:pt idx="138">
                  <c:v>2.9762662098879477E-3</c:v>
                </c:pt>
                <c:pt idx="139">
                  <c:v>2.5713204615269896E-3</c:v>
                </c:pt>
                <c:pt idx="140">
                  <c:v>2.2159242059690211E-3</c:v>
                </c:pt>
                <c:pt idx="141">
                  <c:v>1.9048810491109202E-3</c:v>
                </c:pt>
                <c:pt idx="142">
                  <c:v>1.6334095280999752E-3</c:v>
                </c:pt>
                <c:pt idx="143">
                  <c:v>1.397129207439737E-3</c:v>
                </c:pt>
                <c:pt idx="144">
                  <c:v>1.1920441007324336E-3</c:v>
                </c:pt>
                <c:pt idx="145">
                  <c:v>1.0145240286498955E-3</c:v>
                </c:pt>
                <c:pt idx="146">
                  <c:v>8.6128446952685048E-4</c:v>
                </c:pt>
                <c:pt idx="147">
                  <c:v>7.2936540233338259E-4</c:v>
                </c:pt>
                <c:pt idx="148">
                  <c:v>6.161095842365181E-4</c:v>
                </c:pt>
                <c:pt idx="149">
                  <c:v>5.1914064783071287E-4</c:v>
                </c:pt>
                <c:pt idx="150">
                  <c:v>4.3634134752288702E-4</c:v>
                </c:pt>
                <c:pt idx="151">
                  <c:v>3.6583223141516119E-4</c:v>
                </c:pt>
                <c:pt idx="152">
                  <c:v>3.0595096505689137E-4</c:v>
                </c:pt>
                <c:pt idx="153">
                  <c:v>2.552324871720973E-4</c:v>
                </c:pt>
                <c:pt idx="154">
                  <c:v>2.1239013527537984E-4</c:v>
                </c:pt>
                <c:pt idx="155">
                  <c:v>1.7629784118372612E-4</c:v>
                </c:pt>
                <c:pt idx="156">
                  <c:v>1.4597346289573312E-4</c:v>
                </c:pt>
                <c:pt idx="157">
                  <c:v>1.205632901129994E-4</c:v>
                </c:pt>
                <c:pt idx="158">
                  <c:v>9.9327735696388554E-5</c:v>
                </c:pt>
                <c:pt idx="159">
                  <c:v>8.1628204383122946E-5</c:v>
                </c:pt>
                <c:pt idx="160">
                  <c:v>6.6915112882444337E-5</c:v>
                </c:pt>
              </c:numCache>
            </c:numRef>
          </c:yVal>
          <c:smooth val="1"/>
        </c:ser>
        <c:ser>
          <c:idx val="1"/>
          <c:order val="1"/>
          <c:tx>
            <c:v>PDF2</c:v>
          </c:tx>
          <c:marker>
            <c:symbol val="none"/>
          </c:marker>
          <c:xVal>
            <c:numRef>
              <c:f>'Single Asset Return&amp;Risk'!$E$32:$E$192</c:f>
              <c:numCache>
                <c:formatCode>General</c:formatCode>
                <c:ptCount val="161"/>
                <c:pt idx="0">
                  <c:v>-24</c:v>
                </c:pt>
                <c:pt idx="1">
                  <c:v>-23.700000000000003</c:v>
                </c:pt>
                <c:pt idx="2">
                  <c:v>-23.400000000000002</c:v>
                </c:pt>
                <c:pt idx="3">
                  <c:v>-23.1</c:v>
                </c:pt>
                <c:pt idx="4">
                  <c:v>-22.800000000000004</c:v>
                </c:pt>
                <c:pt idx="5">
                  <c:v>-22.500000000000007</c:v>
                </c:pt>
                <c:pt idx="6">
                  <c:v>-22.200000000000006</c:v>
                </c:pt>
                <c:pt idx="7">
                  <c:v>-21.900000000000006</c:v>
                </c:pt>
                <c:pt idx="8">
                  <c:v>-21.600000000000009</c:v>
                </c:pt>
                <c:pt idx="9">
                  <c:v>-21.300000000000011</c:v>
                </c:pt>
                <c:pt idx="10">
                  <c:v>-21.000000000000011</c:v>
                </c:pt>
                <c:pt idx="11">
                  <c:v>-20.70000000000001</c:v>
                </c:pt>
                <c:pt idx="12">
                  <c:v>-20.400000000000013</c:v>
                </c:pt>
                <c:pt idx="13">
                  <c:v>-20.100000000000016</c:v>
                </c:pt>
                <c:pt idx="14">
                  <c:v>-19.800000000000015</c:v>
                </c:pt>
                <c:pt idx="15">
                  <c:v>-19.500000000000014</c:v>
                </c:pt>
                <c:pt idx="16">
                  <c:v>-19.200000000000017</c:v>
                </c:pt>
                <c:pt idx="17">
                  <c:v>-18.90000000000002</c:v>
                </c:pt>
                <c:pt idx="18">
                  <c:v>-18.600000000000019</c:v>
                </c:pt>
                <c:pt idx="19">
                  <c:v>-18.300000000000018</c:v>
                </c:pt>
                <c:pt idx="20">
                  <c:v>-18.000000000000021</c:v>
                </c:pt>
                <c:pt idx="21">
                  <c:v>-17.700000000000024</c:v>
                </c:pt>
                <c:pt idx="22">
                  <c:v>-17.400000000000023</c:v>
                </c:pt>
                <c:pt idx="23">
                  <c:v>-17.100000000000023</c:v>
                </c:pt>
                <c:pt idx="24">
                  <c:v>-16.800000000000026</c:v>
                </c:pt>
                <c:pt idx="25">
                  <c:v>-16.500000000000028</c:v>
                </c:pt>
                <c:pt idx="26">
                  <c:v>-16.200000000000028</c:v>
                </c:pt>
                <c:pt idx="27">
                  <c:v>-15.900000000000029</c:v>
                </c:pt>
                <c:pt idx="28">
                  <c:v>-15.60000000000003</c:v>
                </c:pt>
                <c:pt idx="29">
                  <c:v>-15.300000000000031</c:v>
                </c:pt>
                <c:pt idx="30">
                  <c:v>-15.000000000000032</c:v>
                </c:pt>
                <c:pt idx="31">
                  <c:v>-14.700000000000033</c:v>
                </c:pt>
                <c:pt idx="32">
                  <c:v>-14.400000000000034</c:v>
                </c:pt>
                <c:pt idx="33">
                  <c:v>-14.100000000000035</c:v>
                </c:pt>
                <c:pt idx="34">
                  <c:v>-13.800000000000036</c:v>
                </c:pt>
                <c:pt idx="35">
                  <c:v>-13.500000000000037</c:v>
                </c:pt>
                <c:pt idx="36">
                  <c:v>-13.200000000000038</c:v>
                </c:pt>
                <c:pt idx="37">
                  <c:v>-12.900000000000039</c:v>
                </c:pt>
                <c:pt idx="38">
                  <c:v>-12.600000000000041</c:v>
                </c:pt>
                <c:pt idx="39">
                  <c:v>-12.300000000000042</c:v>
                </c:pt>
                <c:pt idx="40">
                  <c:v>-12.000000000000043</c:v>
                </c:pt>
                <c:pt idx="41">
                  <c:v>-11.700000000000042</c:v>
                </c:pt>
                <c:pt idx="42">
                  <c:v>-11.400000000000041</c:v>
                </c:pt>
                <c:pt idx="43">
                  <c:v>-11.100000000000042</c:v>
                </c:pt>
                <c:pt idx="44">
                  <c:v>-10.800000000000042</c:v>
                </c:pt>
                <c:pt idx="45">
                  <c:v>-10.500000000000041</c:v>
                </c:pt>
                <c:pt idx="46">
                  <c:v>-10.200000000000042</c:v>
                </c:pt>
                <c:pt idx="47">
                  <c:v>-9.9000000000000412</c:v>
                </c:pt>
                <c:pt idx="48">
                  <c:v>-9.6000000000000405</c:v>
                </c:pt>
                <c:pt idx="49">
                  <c:v>-9.3000000000000398</c:v>
                </c:pt>
                <c:pt idx="50">
                  <c:v>-9.0000000000000391</c:v>
                </c:pt>
                <c:pt idx="51">
                  <c:v>-8.7000000000000401</c:v>
                </c:pt>
                <c:pt idx="52">
                  <c:v>-8.4000000000000394</c:v>
                </c:pt>
                <c:pt idx="53">
                  <c:v>-8.1000000000000387</c:v>
                </c:pt>
                <c:pt idx="54">
                  <c:v>-7.8000000000000389</c:v>
                </c:pt>
                <c:pt idx="55">
                  <c:v>-7.5000000000000391</c:v>
                </c:pt>
                <c:pt idx="56">
                  <c:v>-7.2000000000000384</c:v>
                </c:pt>
                <c:pt idx="57">
                  <c:v>-6.9000000000000377</c:v>
                </c:pt>
                <c:pt idx="58">
                  <c:v>-6.6000000000000378</c:v>
                </c:pt>
                <c:pt idx="59">
                  <c:v>-6.300000000000038</c:v>
                </c:pt>
                <c:pt idx="60">
                  <c:v>-6.0000000000000373</c:v>
                </c:pt>
                <c:pt idx="61">
                  <c:v>-5.7000000000000366</c:v>
                </c:pt>
                <c:pt idx="62">
                  <c:v>-5.4000000000000368</c:v>
                </c:pt>
                <c:pt idx="63">
                  <c:v>-5.1000000000000369</c:v>
                </c:pt>
                <c:pt idx="64">
                  <c:v>-4.8000000000000362</c:v>
                </c:pt>
                <c:pt idx="65">
                  <c:v>-4.5000000000000355</c:v>
                </c:pt>
                <c:pt idx="66">
                  <c:v>-4.2000000000000357</c:v>
                </c:pt>
                <c:pt idx="67">
                  <c:v>-3.9000000000000354</c:v>
                </c:pt>
                <c:pt idx="68">
                  <c:v>-3.6000000000000352</c:v>
                </c:pt>
                <c:pt idx="69">
                  <c:v>-3.3000000000000349</c:v>
                </c:pt>
                <c:pt idx="70">
                  <c:v>-3.0000000000000346</c:v>
                </c:pt>
                <c:pt idx="71">
                  <c:v>-2.7000000000000348</c:v>
                </c:pt>
                <c:pt idx="72">
                  <c:v>-2.400000000000035</c:v>
                </c:pt>
                <c:pt idx="73">
                  <c:v>-2.1000000000000347</c:v>
                </c:pt>
                <c:pt idx="74">
                  <c:v>-1.8000000000000349</c:v>
                </c:pt>
                <c:pt idx="75">
                  <c:v>-1.5000000000000351</c:v>
                </c:pt>
                <c:pt idx="76">
                  <c:v>-1.200000000000035</c:v>
                </c:pt>
                <c:pt idx="77">
                  <c:v>-0.90000000000003511</c:v>
                </c:pt>
                <c:pt idx="78">
                  <c:v>-0.60000000000003506</c:v>
                </c:pt>
                <c:pt idx="79">
                  <c:v>-0.30000000000003507</c:v>
                </c:pt>
                <c:pt idx="80">
                  <c:v>0</c:v>
                </c:pt>
                <c:pt idx="81">
                  <c:v>0.30000000000000004</c:v>
                </c:pt>
                <c:pt idx="82">
                  <c:v>0.60000000000000009</c:v>
                </c:pt>
                <c:pt idx="83">
                  <c:v>0.90000000000000013</c:v>
                </c:pt>
                <c:pt idx="84">
                  <c:v>1.2000000000000002</c:v>
                </c:pt>
                <c:pt idx="85">
                  <c:v>1.5</c:v>
                </c:pt>
                <c:pt idx="86">
                  <c:v>1.7999999999999998</c:v>
                </c:pt>
                <c:pt idx="87">
                  <c:v>2.0999999999999996</c:v>
                </c:pt>
                <c:pt idx="88">
                  <c:v>2.4</c:v>
                </c:pt>
                <c:pt idx="89">
                  <c:v>2.6999999999999997</c:v>
                </c:pt>
                <c:pt idx="90">
                  <c:v>2.9999999999999996</c:v>
                </c:pt>
                <c:pt idx="91">
                  <c:v>3.3</c:v>
                </c:pt>
                <c:pt idx="92">
                  <c:v>3.5999999999999996</c:v>
                </c:pt>
                <c:pt idx="93">
                  <c:v>3.9000000000000004</c:v>
                </c:pt>
                <c:pt idx="94">
                  <c:v>4.2</c:v>
                </c:pt>
                <c:pt idx="95">
                  <c:v>4.5000000000000009</c:v>
                </c:pt>
                <c:pt idx="96">
                  <c:v>4.8000000000000007</c:v>
                </c:pt>
                <c:pt idx="97">
                  <c:v>5.1000000000000014</c:v>
                </c:pt>
                <c:pt idx="98">
                  <c:v>5.4000000000000012</c:v>
                </c:pt>
                <c:pt idx="99">
                  <c:v>5.700000000000002</c:v>
                </c:pt>
                <c:pt idx="100">
                  <c:v>6.0000000000000018</c:v>
                </c:pt>
                <c:pt idx="101">
                  <c:v>6.3000000000000016</c:v>
                </c:pt>
                <c:pt idx="102">
                  <c:v>6.6000000000000014</c:v>
                </c:pt>
                <c:pt idx="103">
                  <c:v>6.9000000000000021</c:v>
                </c:pt>
                <c:pt idx="104">
                  <c:v>7.2000000000000028</c:v>
                </c:pt>
                <c:pt idx="105">
                  <c:v>7.5000000000000027</c:v>
                </c:pt>
                <c:pt idx="106">
                  <c:v>7.8000000000000025</c:v>
                </c:pt>
                <c:pt idx="107">
                  <c:v>8.1000000000000032</c:v>
                </c:pt>
                <c:pt idx="108">
                  <c:v>8.4000000000000039</c:v>
                </c:pt>
                <c:pt idx="109">
                  <c:v>8.7000000000000028</c:v>
                </c:pt>
                <c:pt idx="110">
                  <c:v>9.0000000000000036</c:v>
                </c:pt>
                <c:pt idx="111">
                  <c:v>9.3000000000000043</c:v>
                </c:pt>
                <c:pt idx="112">
                  <c:v>9.600000000000005</c:v>
                </c:pt>
                <c:pt idx="113">
                  <c:v>9.9000000000000057</c:v>
                </c:pt>
                <c:pt idx="114">
                  <c:v>10.200000000000005</c:v>
                </c:pt>
                <c:pt idx="115">
                  <c:v>10.500000000000005</c:v>
                </c:pt>
                <c:pt idx="116">
                  <c:v>10.800000000000006</c:v>
                </c:pt>
                <c:pt idx="117">
                  <c:v>11.100000000000005</c:v>
                </c:pt>
                <c:pt idx="118">
                  <c:v>11.400000000000006</c:v>
                </c:pt>
                <c:pt idx="119">
                  <c:v>11.700000000000006</c:v>
                </c:pt>
                <c:pt idx="120">
                  <c:v>12.000000000000005</c:v>
                </c:pt>
                <c:pt idx="121">
                  <c:v>12.300000000000004</c:v>
                </c:pt>
                <c:pt idx="122">
                  <c:v>12.600000000000003</c:v>
                </c:pt>
                <c:pt idx="123">
                  <c:v>12.900000000000002</c:v>
                </c:pt>
                <c:pt idx="124">
                  <c:v>13.200000000000001</c:v>
                </c:pt>
                <c:pt idx="125">
                  <c:v>13.5</c:v>
                </c:pt>
                <c:pt idx="126">
                  <c:v>13.799999999999999</c:v>
                </c:pt>
                <c:pt idx="127">
                  <c:v>14.099999999999998</c:v>
                </c:pt>
                <c:pt idx="128">
                  <c:v>14.399999999999997</c:v>
                </c:pt>
                <c:pt idx="129">
                  <c:v>14.699999999999996</c:v>
                </c:pt>
                <c:pt idx="130">
                  <c:v>14.999999999999995</c:v>
                </c:pt>
                <c:pt idx="131">
                  <c:v>15.299999999999994</c:v>
                </c:pt>
                <c:pt idx="132">
                  <c:v>15.599999999999993</c:v>
                </c:pt>
                <c:pt idx="133">
                  <c:v>15.899999999999991</c:v>
                </c:pt>
                <c:pt idx="134">
                  <c:v>16.199999999999989</c:v>
                </c:pt>
                <c:pt idx="135">
                  <c:v>16.499999999999989</c:v>
                </c:pt>
                <c:pt idx="136">
                  <c:v>16.79999999999999</c:v>
                </c:pt>
                <c:pt idx="137">
                  <c:v>17.099999999999987</c:v>
                </c:pt>
                <c:pt idx="138">
                  <c:v>17.399999999999984</c:v>
                </c:pt>
                <c:pt idx="139">
                  <c:v>17.699999999999985</c:v>
                </c:pt>
                <c:pt idx="140">
                  <c:v>17.999999999999986</c:v>
                </c:pt>
                <c:pt idx="141">
                  <c:v>18.299999999999983</c:v>
                </c:pt>
                <c:pt idx="142">
                  <c:v>18.59999999999998</c:v>
                </c:pt>
                <c:pt idx="143">
                  <c:v>18.899999999999981</c:v>
                </c:pt>
                <c:pt idx="144">
                  <c:v>19.199999999999982</c:v>
                </c:pt>
                <c:pt idx="145">
                  <c:v>19.499999999999979</c:v>
                </c:pt>
                <c:pt idx="146">
                  <c:v>19.799999999999976</c:v>
                </c:pt>
                <c:pt idx="147">
                  <c:v>20.099999999999977</c:v>
                </c:pt>
                <c:pt idx="148">
                  <c:v>20.399999999999977</c:v>
                </c:pt>
                <c:pt idx="149">
                  <c:v>20.699999999999974</c:v>
                </c:pt>
                <c:pt idx="150">
                  <c:v>20.999999999999972</c:v>
                </c:pt>
                <c:pt idx="151">
                  <c:v>21.299999999999972</c:v>
                </c:pt>
                <c:pt idx="152">
                  <c:v>21.599999999999973</c:v>
                </c:pt>
                <c:pt idx="153">
                  <c:v>21.89999999999997</c:v>
                </c:pt>
                <c:pt idx="154">
                  <c:v>22.199999999999967</c:v>
                </c:pt>
                <c:pt idx="155">
                  <c:v>22.499999999999968</c:v>
                </c:pt>
                <c:pt idx="156">
                  <c:v>22.799999999999969</c:v>
                </c:pt>
                <c:pt idx="157">
                  <c:v>23.099999999999966</c:v>
                </c:pt>
                <c:pt idx="158">
                  <c:v>23.399999999999963</c:v>
                </c:pt>
                <c:pt idx="159">
                  <c:v>23.699999999999964</c:v>
                </c:pt>
                <c:pt idx="160">
                  <c:v>23.999999999999964</c:v>
                </c:pt>
              </c:numCache>
            </c:numRef>
          </c:xVal>
          <c:yVal>
            <c:numRef>
              <c:f>'Single Asset Return&amp;Risk'!$F$32:$F$192</c:f>
              <c:numCache>
                <c:formatCode>0.00%</c:formatCode>
                <c:ptCount val="161"/>
                <c:pt idx="0">
                  <c:v>1.6840903611789641E-15</c:v>
                </c:pt>
                <c:pt idx="1">
                  <c:v>3.7293187381172453E-15</c:v>
                </c:pt>
                <c:pt idx="2">
                  <c:v>8.1761842856547446E-15</c:v>
                </c:pt>
                <c:pt idx="3">
                  <c:v>1.7747161240843204E-14</c:v>
                </c:pt>
                <c:pt idx="4">
                  <c:v>3.8138549672670824E-14</c:v>
                </c:pt>
                <c:pt idx="5">
                  <c:v>8.1144017767632215E-14</c:v>
                </c:pt>
                <c:pt idx="6">
                  <c:v>1.7092512122655358E-13</c:v>
                </c:pt>
                <c:pt idx="7">
                  <c:v>3.564612623847162E-13</c:v>
                </c:pt>
                <c:pt idx="8">
                  <c:v>7.3599665437903325E-13</c:v>
                </c:pt>
                <c:pt idx="9">
                  <c:v>1.5045145590684631E-12</c:v>
                </c:pt>
                <c:pt idx="10">
                  <c:v>3.0449068027881217E-12</c:v>
                </c:pt>
                <c:pt idx="11">
                  <c:v>6.1011073900517958E-12</c:v>
                </c:pt>
                <c:pt idx="12">
                  <c:v>1.210320500597228E-11</c:v>
                </c:pt>
                <c:pt idx="13">
                  <c:v>2.3771093746652735E-11</c:v>
                </c:pt>
                <c:pt idx="14">
                  <c:v>4.622266647217559E-11</c:v>
                </c:pt>
                <c:pt idx="15">
                  <c:v>8.8985220492092203E-11</c:v>
                </c:pt>
                <c:pt idx="16">
                  <c:v>1.696046760548292E-10</c:v>
                </c:pt>
                <c:pt idx="17">
                  <c:v>3.2004777901039749E-10</c:v>
                </c:pt>
                <c:pt idx="18">
                  <c:v>5.9792796932133633E-10</c:v>
                </c:pt>
                <c:pt idx="19">
                  <c:v>1.105961414515725E-9</c:v>
                </c:pt>
                <c:pt idx="20">
                  <c:v>2.0252942832743421E-9</c:v>
                </c:pt>
                <c:pt idx="21">
                  <c:v>3.6719212082272664E-9</c:v>
                </c:pt>
                <c:pt idx="22">
                  <c:v>6.5910654687479182E-9</c:v>
                </c:pt>
                <c:pt idx="23">
                  <c:v>1.1713183649400944E-8</c:v>
                </c:pt>
                <c:pt idx="24">
                  <c:v>2.060873500055183E-8</c:v>
                </c:pt>
                <c:pt idx="25">
                  <c:v>3.5899200141809138E-8</c:v>
                </c:pt>
                <c:pt idx="26">
                  <c:v>6.1912061485173354E-8</c:v>
                </c:pt>
                <c:pt idx="27">
                  <c:v>1.0571164055719372E-7</c:v>
                </c:pt>
                <c:pt idx="28">
                  <c:v>1.7870117815657821E-7</c:v>
                </c:pt>
                <c:pt idx="29">
                  <c:v>2.9908117207942857E-7</c:v>
                </c:pt>
                <c:pt idx="30">
                  <c:v>4.9557317157807283E-7</c:v>
                </c:pt>
                <c:pt idx="31">
                  <c:v>8.129869152977421E-7</c:v>
                </c:pt>
                <c:pt idx="32">
                  <c:v>1.3204330303439522E-6</c:v>
                </c:pt>
                <c:pt idx="33">
                  <c:v>2.1232750596222502E-6</c:v>
                </c:pt>
                <c:pt idx="34">
                  <c:v>3.3802840218287273E-6</c:v>
                </c:pt>
                <c:pt idx="35">
                  <c:v>5.3279137023015312E-6</c:v>
                </c:pt>
                <c:pt idx="36">
                  <c:v>8.3141570966840521E-6</c:v>
                </c:pt>
                <c:pt idx="37">
                  <c:v>1.2845065580694978E-5</c:v>
                </c:pt>
                <c:pt idx="38">
                  <c:v>1.964768925217883E-5</c:v>
                </c:pt>
                <c:pt idx="39">
                  <c:v>2.975388572570928E-5</c:v>
                </c:pt>
                <c:pt idx="40">
                  <c:v>4.4610075254959248E-5</c:v>
                </c:pt>
                <c:pt idx="41">
                  <c:v>6.6218490464253909E-5</c:v>
                </c:pt>
                <c:pt idx="42">
                  <c:v>9.7315641930481643E-5</c:v>
                </c:pt>
                <c:pt idx="43">
                  <c:v>1.4159342351690983E-4</c:v>
                </c:pt>
                <c:pt idx="44">
                  <c:v>2.0396731003791379E-4</c:v>
                </c:pt>
                <c:pt idx="45">
                  <c:v>2.9089423168190634E-4</c:v>
                </c:pt>
                <c:pt idx="46">
                  <c:v>4.1073972282432023E-4</c:v>
                </c:pt>
                <c:pt idx="47">
                  <c:v>5.7418964635120055E-4</c:v>
                </c:pt>
                <c:pt idx="48">
                  <c:v>7.9469606715491272E-4</c:v>
                </c:pt>
                <c:pt idx="49">
                  <c:v>1.0889396853999292E-3</c:v>
                </c:pt>
                <c:pt idx="50">
                  <c:v>1.477282803979278E-3</c:v>
                </c:pt>
                <c:pt idx="51">
                  <c:v>1.9841774732585419E-3</c:v>
                </c:pt>
                <c:pt idx="52">
                  <c:v>2.6384838609932251E-3</c:v>
                </c:pt>
                <c:pt idx="53">
                  <c:v>3.4736449381407445E-3</c:v>
                </c:pt>
                <c:pt idx="54">
                  <c:v>4.527656411228387E-3</c:v>
                </c:pt>
                <c:pt idx="55">
                  <c:v>5.8427668311893223E-3</c:v>
                </c:pt>
                <c:pt idx="56">
                  <c:v>7.4648434316140705E-3</c:v>
                </c:pt>
                <c:pt idx="57">
                  <c:v>9.4423459138667839E-3</c:v>
                </c:pt>
                <c:pt idx="58">
                  <c:v>1.1824864282076814E-2</c:v>
                </c:pt>
                <c:pt idx="59">
                  <c:v>1.4661198660142006E-2</c:v>
                </c:pt>
                <c:pt idx="60">
                  <c:v>1.7996988837728902E-2</c:v>
                </c:pt>
                <c:pt idx="61">
                  <c:v>2.1871938258225022E-2</c:v>
                </c:pt>
                <c:pt idx="62">
                  <c:v>2.63167194336308E-2</c:v>
                </c:pt>
                <c:pt idx="63">
                  <c:v>3.1349692458961652E-2</c:v>
                </c:pt>
                <c:pt idx="64">
                  <c:v>3.69736115598178E-2</c:v>
                </c:pt>
                <c:pt idx="65">
                  <c:v>4.3172531888629809E-2</c:v>
                </c:pt>
                <c:pt idx="66">
                  <c:v>4.9909155211914122E-2</c:v>
                </c:pt>
                <c:pt idx="67">
                  <c:v>5.7122864015934915E-2</c:v>
                </c:pt>
                <c:pt idx="68">
                  <c:v>6.4728684994403388E-2</c:v>
                </c:pt>
                <c:pt idx="69">
                  <c:v>7.2617392344182574E-2</c:v>
                </c:pt>
                <c:pt idx="70">
                  <c:v>8.0656908173046854E-2</c:v>
                </c:pt>
                <c:pt idx="71">
                  <c:v>8.8695083299584004E-2</c:v>
                </c:pt>
                <c:pt idx="72">
                  <c:v>9.6563850920493341E-2</c:v>
                </c:pt>
                <c:pt idx="73">
                  <c:v>0.10408464445558624</c:v>
                </c:pt>
                <c:pt idx="74">
                  <c:v>0.11107486763059909</c:v>
                </c:pt>
                <c:pt idx="75">
                  <c:v>0.11735510892143246</c:v>
                </c:pt>
                <c:pt idx="76">
                  <c:v>0.1227567134344405</c:v>
                </c:pt>
                <c:pt idx="77">
                  <c:v>0.12712927182017422</c:v>
                </c:pt>
                <c:pt idx="78">
                  <c:v>0.13034756465848499</c:v>
                </c:pt>
                <c:pt idx="79">
                  <c:v>0.13231751582567042</c:v>
                </c:pt>
                <c:pt idx="80">
                  <c:v>0.13298076013381088</c:v>
                </c:pt>
                <c:pt idx="81">
                  <c:v>0.13231751582567058</c:v>
                </c:pt>
                <c:pt idx="82">
                  <c:v>0.13034756465848527</c:v>
                </c:pt>
                <c:pt idx="83">
                  <c:v>0.12712927182017467</c:v>
                </c:pt>
                <c:pt idx="84">
                  <c:v>0.12275671343444108</c:v>
                </c:pt>
                <c:pt idx="85">
                  <c:v>0.11735510892143315</c:v>
                </c:pt>
                <c:pt idx="86">
                  <c:v>0.11107486763059987</c:v>
                </c:pt>
                <c:pt idx="87">
                  <c:v>0.10408464445558709</c:v>
                </c:pt>
                <c:pt idx="88">
                  <c:v>9.6563850920494243E-2</c:v>
                </c:pt>
                <c:pt idx="89">
                  <c:v>8.8695083299584948E-2</c:v>
                </c:pt>
                <c:pt idx="90">
                  <c:v>8.0656908173047798E-2</c:v>
                </c:pt>
                <c:pt idx="91">
                  <c:v>7.2617392344183504E-2</c:v>
                </c:pt>
                <c:pt idx="92">
                  <c:v>6.4728684994404317E-2</c:v>
                </c:pt>
                <c:pt idx="93">
                  <c:v>5.7122864015935769E-2</c:v>
                </c:pt>
                <c:pt idx="94">
                  <c:v>4.9909155211914955E-2</c:v>
                </c:pt>
                <c:pt idx="95">
                  <c:v>4.3172531888630551E-2</c:v>
                </c:pt>
                <c:pt idx="96">
                  <c:v>3.6973611559818507E-2</c:v>
                </c:pt>
                <c:pt idx="97">
                  <c:v>3.1349692458962276E-2</c:v>
                </c:pt>
                <c:pt idx="98">
                  <c:v>2.6316719433631362E-2</c:v>
                </c:pt>
                <c:pt idx="99">
                  <c:v>2.1871938258225501E-2</c:v>
                </c:pt>
                <c:pt idx="100">
                  <c:v>1.7996988837729325E-2</c:v>
                </c:pt>
                <c:pt idx="101">
                  <c:v>1.4661198660142382E-2</c:v>
                </c:pt>
                <c:pt idx="102">
                  <c:v>1.1824864282077133E-2</c:v>
                </c:pt>
                <c:pt idx="103">
                  <c:v>9.4423459138670441E-3</c:v>
                </c:pt>
                <c:pt idx="104">
                  <c:v>7.4648434316142822E-3</c:v>
                </c:pt>
                <c:pt idx="105">
                  <c:v>5.8427668311894993E-3</c:v>
                </c:pt>
                <c:pt idx="106">
                  <c:v>4.5276564112285284E-3</c:v>
                </c:pt>
                <c:pt idx="107">
                  <c:v>3.4736449381408538E-3</c:v>
                </c:pt>
                <c:pt idx="108">
                  <c:v>2.6384838609933114E-3</c:v>
                </c:pt>
                <c:pt idx="109">
                  <c:v>1.9841774732586126E-3</c:v>
                </c:pt>
                <c:pt idx="110">
                  <c:v>1.4772828039793303E-3</c:v>
                </c:pt>
                <c:pt idx="111">
                  <c:v>1.0889396853999689E-3</c:v>
                </c:pt>
                <c:pt idx="112">
                  <c:v>7.9469606715494307E-4</c:v>
                </c:pt>
                <c:pt idx="113">
                  <c:v>5.7418964635122288E-4</c:v>
                </c:pt>
                <c:pt idx="114">
                  <c:v>4.1073972282433768E-4</c:v>
                </c:pt>
                <c:pt idx="115">
                  <c:v>2.9089423168191821E-4</c:v>
                </c:pt>
                <c:pt idx="116">
                  <c:v>2.0396731003792249E-4</c:v>
                </c:pt>
                <c:pt idx="117">
                  <c:v>1.4159342351691639E-4</c:v>
                </c:pt>
                <c:pt idx="118">
                  <c:v>9.7315641930486048E-5</c:v>
                </c:pt>
                <c:pt idx="119">
                  <c:v>6.6218490464256972E-5</c:v>
                </c:pt>
                <c:pt idx="120">
                  <c:v>4.4610075254961464E-5</c:v>
                </c:pt>
                <c:pt idx="121">
                  <c:v>2.975388572571076E-5</c:v>
                </c:pt>
                <c:pt idx="122">
                  <c:v>1.9647689252179877E-5</c:v>
                </c:pt>
                <c:pt idx="123">
                  <c:v>1.2845065580695662E-5</c:v>
                </c:pt>
                <c:pt idx="124">
                  <c:v>8.3141570966845095E-6</c:v>
                </c:pt>
                <c:pt idx="125">
                  <c:v>5.3279137023018252E-6</c:v>
                </c:pt>
                <c:pt idx="126">
                  <c:v>3.3802840218289192E-6</c:v>
                </c:pt>
                <c:pt idx="127">
                  <c:v>2.1232750596223743E-6</c:v>
                </c:pt>
                <c:pt idx="128">
                  <c:v>1.3204330303440318E-6</c:v>
                </c:pt>
                <c:pt idx="129">
                  <c:v>8.129869152977926E-7</c:v>
                </c:pt>
                <c:pt idx="130">
                  <c:v>4.9557317157810353E-7</c:v>
                </c:pt>
                <c:pt idx="131">
                  <c:v>2.9908117207944774E-7</c:v>
                </c:pt>
                <c:pt idx="132">
                  <c:v>1.7870117815658965E-7</c:v>
                </c:pt>
                <c:pt idx="133">
                  <c:v>1.0571164055720086E-7</c:v>
                </c:pt>
                <c:pt idx="134">
                  <c:v>6.1912061485177642E-8</c:v>
                </c:pt>
                <c:pt idx="135">
                  <c:v>3.5899200141811619E-8</c:v>
                </c:pt>
                <c:pt idx="136">
                  <c:v>2.0608735000553183E-8</c:v>
                </c:pt>
                <c:pt idx="137">
                  <c:v>1.1713183649401735E-8</c:v>
                </c:pt>
                <c:pt idx="138">
                  <c:v>6.5910654687484112E-9</c:v>
                </c:pt>
                <c:pt idx="139">
                  <c:v>3.671921208227553E-9</c:v>
                </c:pt>
                <c:pt idx="140">
                  <c:v>2.025294283274486E-9</c:v>
                </c:pt>
                <c:pt idx="141">
                  <c:v>1.1059614145158036E-9</c:v>
                </c:pt>
                <c:pt idx="142">
                  <c:v>5.9792796932138741E-10</c:v>
                </c:pt>
                <c:pt idx="143">
                  <c:v>3.2004777901042365E-10</c:v>
                </c:pt>
                <c:pt idx="144">
                  <c:v>1.6960467605484184E-10</c:v>
                </c:pt>
                <c:pt idx="145">
                  <c:v>8.8985220492099157E-11</c:v>
                </c:pt>
                <c:pt idx="146">
                  <c:v>4.6222666472179532E-11</c:v>
                </c:pt>
                <c:pt idx="147">
                  <c:v>2.3771093746654767E-11</c:v>
                </c:pt>
                <c:pt idx="148">
                  <c:v>1.2103205005973271E-11</c:v>
                </c:pt>
                <c:pt idx="149">
                  <c:v>6.1011073900522934E-12</c:v>
                </c:pt>
                <c:pt idx="150">
                  <c:v>3.0449068027884032E-12</c:v>
                </c:pt>
                <c:pt idx="151">
                  <c:v>1.504514559068602E-12</c:v>
                </c:pt>
                <c:pt idx="152">
                  <c:v>7.3599665437909606E-13</c:v>
                </c:pt>
                <c:pt idx="153">
                  <c:v>3.5646126238474659E-13</c:v>
                </c:pt>
                <c:pt idx="154">
                  <c:v>1.7092512122656938E-13</c:v>
                </c:pt>
                <c:pt idx="155">
                  <c:v>8.1144017767640002E-14</c:v>
                </c:pt>
                <c:pt idx="156">
                  <c:v>3.8138549672674207E-14</c:v>
                </c:pt>
                <c:pt idx="157">
                  <c:v>1.7747161240844782E-14</c:v>
                </c:pt>
                <c:pt idx="158">
                  <c:v>8.1761842856555603E-15</c:v>
                </c:pt>
                <c:pt idx="159">
                  <c:v>3.7293187381176421E-15</c:v>
                </c:pt>
                <c:pt idx="160">
                  <c:v>1.6840903611791254E-15</c:v>
                </c:pt>
              </c:numCache>
            </c:numRef>
          </c:yVal>
          <c:smooth val="1"/>
        </c:ser>
        <c:axId val="129144704"/>
        <c:axId val="129146240"/>
      </c:scatterChart>
      <c:valAx>
        <c:axId val="129144704"/>
        <c:scaling>
          <c:orientation val="minMax"/>
        </c:scaling>
        <c:axPos val="b"/>
        <c:numFmt formatCode="General" sourceLinked="1"/>
        <c:majorTickMark val="none"/>
        <c:tickLblPos val="nextTo"/>
        <c:crossAx val="129146240"/>
        <c:crosses val="autoZero"/>
        <c:crossBetween val="midCat"/>
      </c:valAx>
      <c:valAx>
        <c:axId val="129146240"/>
        <c:scaling>
          <c:orientation val="minMax"/>
        </c:scaling>
        <c:axPos val="r"/>
        <c:majorGridlines/>
        <c:numFmt formatCode="0.0%" sourceLinked="0"/>
        <c:majorTickMark val="none"/>
        <c:tickLblPos val="low"/>
        <c:crossAx val="129144704"/>
        <c:crosses val="max"/>
        <c:crossBetween val="midCat"/>
      </c:valAx>
    </c:plotArea>
    <c:legend>
      <c:legendPos val="b"/>
    </c:legend>
    <c:plotVisOnly val="1"/>
  </c:chart>
  <c:printSettings>
    <c:headerFooter/>
    <c:pageMargins b="0.75000000000000155" l="0.70000000000000062" r="0.70000000000000062" t="0.7500000000000015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'!$B$65</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'!$B$66:$B$70</c:f>
              <c:numCache>
                <c:formatCode>0%</c:formatCode>
                <c:ptCount val="5"/>
                <c:pt idx="0">
                  <c:v>0.4</c:v>
                </c:pt>
                <c:pt idx="1">
                  <c:v>-0.1</c:v>
                </c:pt>
                <c:pt idx="2">
                  <c:v>0.35</c:v>
                </c:pt>
                <c:pt idx="3">
                  <c:v>-0.05</c:v>
                </c:pt>
                <c:pt idx="4">
                  <c:v>0.15</c:v>
                </c:pt>
              </c:numCache>
            </c:numRef>
          </c:yVal>
        </c:ser>
        <c:axId val="129352064"/>
        <c:axId val="129354368"/>
      </c:scatterChart>
      <c:valAx>
        <c:axId val="12935206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29354368"/>
        <c:crosses val="autoZero"/>
        <c:crossBetween val="midCat"/>
      </c:valAx>
      <c:valAx>
        <c:axId val="12935436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35206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M</a:t>
            </a:r>
          </a:p>
        </c:rich>
      </c:tx>
      <c:layout>
        <c:manualLayout>
          <c:xMode val="edge"/>
          <c:yMode val="edge"/>
          <c:x val="0.42899541100410332"/>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'!$D$65</c:f>
              <c:strCache>
                <c:ptCount val="1"/>
                <c:pt idx="0">
                  <c:v>Stock M</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'!$D$66:$D$70</c:f>
              <c:numCache>
                <c:formatCode>0%</c:formatCode>
                <c:ptCount val="5"/>
                <c:pt idx="0">
                  <c:v>-0.1</c:v>
                </c:pt>
                <c:pt idx="1">
                  <c:v>0.4</c:v>
                </c:pt>
                <c:pt idx="2">
                  <c:v>-0.05</c:v>
                </c:pt>
                <c:pt idx="3">
                  <c:v>0.35</c:v>
                </c:pt>
                <c:pt idx="4">
                  <c:v>0.15</c:v>
                </c:pt>
              </c:numCache>
            </c:numRef>
          </c:yVal>
        </c:ser>
        <c:axId val="129255296"/>
        <c:axId val="129261952"/>
      </c:scatterChart>
      <c:valAx>
        <c:axId val="12925529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29261952"/>
        <c:crosses val="autoZero"/>
        <c:crossBetween val="midCat"/>
      </c:valAx>
      <c:valAx>
        <c:axId val="1292619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25529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WM</a:t>
            </a:r>
          </a:p>
        </c:rich>
      </c:tx>
      <c:layout>
        <c:manualLayout>
          <c:xMode val="edge"/>
          <c:yMode val="edge"/>
          <c:x val="0.36223583099228535"/>
          <c:y val="1.7086080725891462E-2"/>
        </c:manualLayout>
      </c:layout>
      <c:spPr>
        <a:noFill/>
        <a:ln w="25400">
          <a:noFill/>
        </a:ln>
      </c:spPr>
    </c:title>
    <c:plotArea>
      <c:layout>
        <c:manualLayout>
          <c:layoutTarget val="inner"/>
          <c:xMode val="edge"/>
          <c:yMode val="edge"/>
          <c:x val="0.20175160207165257"/>
          <c:y val="0.14010586195230998"/>
          <c:w val="0.70613060725078802"/>
          <c:h val="0.73470147121333751"/>
        </c:manualLayout>
      </c:layout>
      <c:scatterChart>
        <c:scatterStyle val="lineMarker"/>
        <c:ser>
          <c:idx val="0"/>
          <c:order val="0"/>
          <c:tx>
            <c:strRef>
              <c:f>'Theoretical Portfolio, Brigham '!$F$65</c:f>
              <c:strCache>
                <c:ptCount val="1"/>
                <c:pt idx="0">
                  <c:v>Portfolio WM</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'!$F$66:$F$70</c:f>
              <c:numCache>
                <c:formatCode>0%</c:formatCode>
                <c:ptCount val="5"/>
                <c:pt idx="0">
                  <c:v>0.15000000000000002</c:v>
                </c:pt>
                <c:pt idx="1">
                  <c:v>0.15000000000000002</c:v>
                </c:pt>
                <c:pt idx="2">
                  <c:v>0.15</c:v>
                </c:pt>
                <c:pt idx="3">
                  <c:v>0.15</c:v>
                </c:pt>
                <c:pt idx="4">
                  <c:v>0.15</c:v>
                </c:pt>
              </c:numCache>
            </c:numRef>
          </c:yVal>
        </c:ser>
        <c:axId val="129273216"/>
        <c:axId val="129578880"/>
      </c:scatterChart>
      <c:valAx>
        <c:axId val="12927321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29578880"/>
        <c:crosses val="autoZero"/>
        <c:crossBetween val="midCat"/>
      </c:valAx>
      <c:valAx>
        <c:axId val="12957888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27321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'!$B$101</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'!$B$102:$B$106</c:f>
              <c:numCache>
                <c:formatCode>0%</c:formatCode>
                <c:ptCount val="5"/>
                <c:pt idx="0">
                  <c:v>0.4</c:v>
                </c:pt>
                <c:pt idx="1">
                  <c:v>-0.1</c:v>
                </c:pt>
                <c:pt idx="2">
                  <c:v>0.35</c:v>
                </c:pt>
                <c:pt idx="3">
                  <c:v>-0.05</c:v>
                </c:pt>
                <c:pt idx="4">
                  <c:v>0.15</c:v>
                </c:pt>
              </c:numCache>
            </c:numRef>
          </c:yVal>
        </c:ser>
        <c:axId val="129606784"/>
        <c:axId val="129609088"/>
      </c:scatterChart>
      <c:valAx>
        <c:axId val="12960678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29609088"/>
        <c:crosses val="autoZero"/>
        <c:crossBetween val="midCat"/>
      </c:valAx>
      <c:valAx>
        <c:axId val="12960908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60678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800080"/>
                </a:solidFill>
                <a:latin typeface="Arial"/>
                <a:ea typeface="Arial"/>
                <a:cs typeface="Arial"/>
              </a:defRPr>
            </a:pPr>
            <a:r>
              <a:rPr lang="en-US"/>
              <a:t>Stock W'</a:t>
            </a:r>
          </a:p>
        </c:rich>
      </c:tx>
      <c:layout>
        <c:manualLayout>
          <c:xMode val="edge"/>
          <c:yMode val="edge"/>
          <c:x val="0.41966942380836192"/>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'!$D$101</c:f>
              <c:strCache>
                <c:ptCount val="1"/>
                <c:pt idx="0">
                  <c:v>Stock W'</c:v>
                </c:pt>
              </c:strCache>
            </c:strRef>
          </c:tx>
          <c:spPr>
            <a:ln w="38100">
              <a:solidFill>
                <a:srgbClr val="800080"/>
              </a:solidFill>
              <a:prstDash val="solid"/>
            </a:ln>
          </c:spPr>
          <c:marker>
            <c:symbol val="circle"/>
            <c:size val="5"/>
            <c:spPr>
              <a:solidFill>
                <a:srgbClr val="800080"/>
              </a:solidFill>
              <a:ln>
                <a:solidFill>
                  <a:srgbClr val="80008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'!$D$102:$D$106</c:f>
              <c:numCache>
                <c:formatCode>0%</c:formatCode>
                <c:ptCount val="5"/>
                <c:pt idx="0">
                  <c:v>0.4</c:v>
                </c:pt>
                <c:pt idx="1">
                  <c:v>-0.1</c:v>
                </c:pt>
                <c:pt idx="2">
                  <c:v>0.35</c:v>
                </c:pt>
                <c:pt idx="3">
                  <c:v>-0.05</c:v>
                </c:pt>
                <c:pt idx="4">
                  <c:v>0.15</c:v>
                </c:pt>
              </c:numCache>
            </c:numRef>
          </c:yVal>
        </c:ser>
        <c:axId val="129628800"/>
        <c:axId val="129533056"/>
      </c:scatterChart>
      <c:valAx>
        <c:axId val="12962880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29533056"/>
        <c:crosses val="autoZero"/>
        <c:crossBetween val="midCat"/>
      </c:valAx>
      <c:valAx>
        <c:axId val="129533056"/>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62880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WW'</a:t>
            </a:r>
          </a:p>
        </c:rich>
      </c:tx>
      <c:layout>
        <c:manualLayout>
          <c:xMode val="edge"/>
          <c:yMode val="edge"/>
          <c:x val="0.35306530362539201"/>
          <c:y val="1.7086080725891462E-2"/>
        </c:manualLayout>
      </c:layout>
      <c:spPr>
        <a:noFill/>
        <a:ln w="25400">
          <a:noFill/>
        </a:ln>
      </c:spPr>
    </c:title>
    <c:plotArea>
      <c:layout>
        <c:manualLayout>
          <c:layoutTarget val="inner"/>
          <c:xMode val="edge"/>
          <c:yMode val="edge"/>
          <c:x val="0.20175160207165257"/>
          <c:y val="0.14010586195230998"/>
          <c:w val="0.70613060725078802"/>
          <c:h val="0.73470147121333751"/>
        </c:manualLayout>
      </c:layout>
      <c:scatterChart>
        <c:scatterStyle val="lineMarker"/>
        <c:ser>
          <c:idx val="0"/>
          <c:order val="0"/>
          <c:tx>
            <c:strRef>
              <c:f>'Theoretical Portfolio, Brigham '!$F$101</c:f>
              <c:strCache>
                <c:ptCount val="1"/>
                <c:pt idx="0">
                  <c:v>Portfolio WW'</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'!$F$102:$F$106</c:f>
              <c:numCache>
                <c:formatCode>0%</c:formatCode>
                <c:ptCount val="5"/>
                <c:pt idx="0">
                  <c:v>0.4</c:v>
                </c:pt>
                <c:pt idx="1">
                  <c:v>-0.1</c:v>
                </c:pt>
                <c:pt idx="2">
                  <c:v>0.35</c:v>
                </c:pt>
                <c:pt idx="3">
                  <c:v>-0.05</c:v>
                </c:pt>
                <c:pt idx="4">
                  <c:v>0.15</c:v>
                </c:pt>
              </c:numCache>
            </c:numRef>
          </c:yVal>
        </c:ser>
        <c:axId val="129839488"/>
        <c:axId val="129841792"/>
      </c:scatterChart>
      <c:valAx>
        <c:axId val="12983948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29841792"/>
        <c:crosses val="autoZero"/>
        <c:crossBetween val="midCat"/>
      </c:valAx>
      <c:valAx>
        <c:axId val="12984179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83948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519"/>
          <c:y val="1.719288152022682E-2"/>
        </c:manualLayout>
      </c:layout>
      <c:spPr>
        <a:noFill/>
        <a:ln w="25400">
          <a:noFill/>
        </a:ln>
      </c:spPr>
    </c:title>
    <c:plotArea>
      <c:layout>
        <c:manualLayout>
          <c:layoutTarget val="inner"/>
          <c:xMode val="edge"/>
          <c:yMode val="edge"/>
          <c:x val="0.20430649147872829"/>
          <c:y val="0.14098162846585988"/>
          <c:w val="0.70114273212018341"/>
          <c:h val="0.73241675276165863"/>
        </c:manualLayout>
      </c:layout>
      <c:scatterChart>
        <c:scatterStyle val="lineMarker"/>
        <c:ser>
          <c:idx val="0"/>
          <c:order val="0"/>
          <c:tx>
            <c:strRef>
              <c:f>'Theoretical Portfolio, Brigham '!$B$137</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'!$B$138:$B$142</c:f>
              <c:numCache>
                <c:formatCode>0%</c:formatCode>
                <c:ptCount val="5"/>
                <c:pt idx="0">
                  <c:v>0.4</c:v>
                </c:pt>
                <c:pt idx="1">
                  <c:v>-0.1</c:v>
                </c:pt>
                <c:pt idx="2">
                  <c:v>0.35</c:v>
                </c:pt>
                <c:pt idx="3">
                  <c:v>-0.05</c:v>
                </c:pt>
                <c:pt idx="4">
                  <c:v>0.15</c:v>
                </c:pt>
              </c:numCache>
            </c:numRef>
          </c:yVal>
        </c:ser>
        <c:axId val="129873792"/>
        <c:axId val="129876352"/>
      </c:scatterChart>
      <c:valAx>
        <c:axId val="12987379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29876352"/>
        <c:crosses val="autoZero"/>
        <c:crossBetween val="midCat"/>
      </c:valAx>
      <c:valAx>
        <c:axId val="1298763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20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87379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Y</a:t>
            </a:r>
          </a:p>
        </c:rich>
      </c:tx>
      <c:layout>
        <c:manualLayout>
          <c:xMode val="edge"/>
          <c:yMode val="edge"/>
          <c:x val="0.43832139819984933"/>
          <c:y val="1.719288152022682E-2"/>
        </c:manualLayout>
      </c:layout>
      <c:spPr>
        <a:noFill/>
        <a:ln w="25400">
          <a:noFill/>
        </a:ln>
      </c:spPr>
    </c:title>
    <c:plotArea>
      <c:layout>
        <c:manualLayout>
          <c:layoutTarget val="inner"/>
          <c:xMode val="edge"/>
          <c:yMode val="edge"/>
          <c:x val="0.20517171830631017"/>
          <c:y val="0.14098162846585988"/>
          <c:w val="0.69944903968060657"/>
          <c:h val="0.73241675276165863"/>
        </c:manualLayout>
      </c:layout>
      <c:scatterChart>
        <c:scatterStyle val="lineMarker"/>
        <c:ser>
          <c:idx val="0"/>
          <c:order val="0"/>
          <c:tx>
            <c:strRef>
              <c:f>'Theoretical Portfolio, Brigham '!$D$13</c:f>
              <c:strCache>
                <c:ptCount val="1"/>
                <c:pt idx="0">
                  <c:v>20.0%  </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'!$D$138:$D$142</c:f>
              <c:numCache>
                <c:formatCode>0%</c:formatCode>
                <c:ptCount val="5"/>
                <c:pt idx="0">
                  <c:v>0.4</c:v>
                </c:pt>
                <c:pt idx="1">
                  <c:v>0.15</c:v>
                </c:pt>
                <c:pt idx="2">
                  <c:v>-0.05</c:v>
                </c:pt>
                <c:pt idx="3">
                  <c:v>-0.1</c:v>
                </c:pt>
                <c:pt idx="4">
                  <c:v>0.35</c:v>
                </c:pt>
              </c:numCache>
            </c:numRef>
          </c:yVal>
        </c:ser>
        <c:axId val="129887616"/>
        <c:axId val="129972096"/>
      </c:scatterChart>
      <c:valAx>
        <c:axId val="12988761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29972096"/>
        <c:crosses val="autoZero"/>
        <c:crossBetween val="midCat"/>
      </c:valAx>
      <c:valAx>
        <c:axId val="129972096"/>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91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2988761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WY</a:t>
            </a:r>
          </a:p>
        </c:rich>
      </c:tx>
      <c:layout>
        <c:manualLayout>
          <c:xMode val="edge"/>
          <c:yMode val="edge"/>
          <c:x val="0.3714063583591804"/>
          <c:y val="1.7086080725891462E-2"/>
        </c:manualLayout>
      </c:layout>
      <c:spPr>
        <a:noFill/>
        <a:ln w="25400">
          <a:noFill/>
        </a:ln>
      </c:spPr>
    </c:title>
    <c:plotArea>
      <c:layout>
        <c:manualLayout>
          <c:layoutTarget val="inner"/>
          <c:xMode val="edge"/>
          <c:yMode val="edge"/>
          <c:x val="0.27970108469024568"/>
          <c:y val="0.14010586195230998"/>
          <c:w val="0.62818112463219433"/>
          <c:h val="0.73470147121333751"/>
        </c:manualLayout>
      </c:layout>
      <c:scatterChart>
        <c:scatterStyle val="lineMarker"/>
        <c:ser>
          <c:idx val="0"/>
          <c:order val="0"/>
          <c:tx>
            <c:strRef>
              <c:f>'Theoretical Portfolio, Brigham '!$F$137</c:f>
              <c:strCache>
                <c:ptCount val="1"/>
                <c:pt idx="0">
                  <c:v>Portfolio WY</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'!$F$138:$F$142</c:f>
              <c:numCache>
                <c:formatCode>0.00%</c:formatCode>
                <c:ptCount val="5"/>
                <c:pt idx="0">
                  <c:v>0.4</c:v>
                </c:pt>
                <c:pt idx="1">
                  <c:v>2.4999999999999994E-2</c:v>
                </c:pt>
                <c:pt idx="2">
                  <c:v>0.15</c:v>
                </c:pt>
                <c:pt idx="3">
                  <c:v>-7.5000000000000011E-2</c:v>
                </c:pt>
                <c:pt idx="4">
                  <c:v>0.25</c:v>
                </c:pt>
              </c:numCache>
            </c:numRef>
          </c:yVal>
        </c:ser>
        <c:axId val="130004096"/>
        <c:axId val="130006400"/>
      </c:scatterChart>
      <c:valAx>
        <c:axId val="13000409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30006400"/>
        <c:crosses val="autoZero"/>
        <c:crossBetween val="midCat"/>
      </c:valAx>
      <c:valAx>
        <c:axId val="13000640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73E-2"/>
              <c:y val="4.1006593742139504E-2"/>
            </c:manualLayout>
          </c:layout>
          <c:spPr>
            <a:noFill/>
            <a:ln w="25400">
              <a:noFill/>
            </a:ln>
          </c:spPr>
        </c:title>
        <c:numFmt formatCode="0.0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000409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22" r="0.75000000000000322" t="1" header="0.5" footer="0.5"/>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8" Type="http://schemas.openxmlformats.org/officeDocument/2006/relationships/chart" Target="../charts/chart18.xml"/><Relationship Id="rId3" Type="http://schemas.openxmlformats.org/officeDocument/2006/relationships/chart" Target="../charts/chart13.xml"/><Relationship Id="rId7" Type="http://schemas.openxmlformats.org/officeDocument/2006/relationships/chart" Target="../charts/chart17.xml"/><Relationship Id="rId2" Type="http://schemas.openxmlformats.org/officeDocument/2006/relationships/chart" Target="../charts/chart12.xml"/><Relationship Id="rId1" Type="http://schemas.openxmlformats.org/officeDocument/2006/relationships/chart" Target="../charts/chart11.xml"/><Relationship Id="rId6" Type="http://schemas.openxmlformats.org/officeDocument/2006/relationships/chart" Target="../charts/chart16.xml"/><Relationship Id="rId5" Type="http://schemas.openxmlformats.org/officeDocument/2006/relationships/chart" Target="../charts/chart15.xml"/><Relationship Id="rId4" Type="http://schemas.openxmlformats.org/officeDocument/2006/relationships/chart" Target="../charts/chart14.xml"/><Relationship Id="rId9" Type="http://schemas.openxmlformats.org/officeDocument/2006/relationships/chart" Target="../charts/chart19.xml"/></Relationships>
</file>

<file path=xl/drawings/_rels/vmlDrawing3.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5</xdr:col>
      <xdr:colOff>403412</xdr:colOff>
      <xdr:row>16</xdr:row>
      <xdr:rowOff>56030</xdr:rowOff>
    </xdr:from>
    <xdr:to>
      <xdr:col>19</xdr:col>
      <xdr:colOff>403412</xdr:colOff>
      <xdr:row>30</xdr:row>
      <xdr:rowOff>134471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1</xdr:colOff>
      <xdr:row>14</xdr:row>
      <xdr:rowOff>168088</xdr:rowOff>
    </xdr:from>
    <xdr:to>
      <xdr:col>28</xdr:col>
      <xdr:colOff>186442</xdr:colOff>
      <xdr:row>29</xdr:row>
      <xdr:rowOff>179382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28</xdr:col>
      <xdr:colOff>280148</xdr:colOff>
      <xdr:row>14</xdr:row>
      <xdr:rowOff>168087</xdr:rowOff>
    </xdr:from>
    <xdr:to>
      <xdr:col>34</xdr:col>
      <xdr:colOff>130413</xdr:colOff>
      <xdr:row>29</xdr:row>
      <xdr:rowOff>179381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457199</xdr:colOff>
      <xdr:row>61</xdr:row>
      <xdr:rowOff>38099</xdr:rowOff>
    </xdr:from>
    <xdr:to>
      <xdr:col>10</xdr:col>
      <xdr:colOff>60374</xdr:colOff>
      <xdr:row>76</xdr:row>
      <xdr:rowOff>60599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457200</xdr:colOff>
      <xdr:row>77</xdr:row>
      <xdr:rowOff>0</xdr:rowOff>
    </xdr:from>
    <xdr:to>
      <xdr:col>10</xdr:col>
      <xdr:colOff>60375</xdr:colOff>
      <xdr:row>92</xdr:row>
      <xdr:rowOff>22500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238125</xdr:colOff>
      <xdr:row>77</xdr:row>
      <xdr:rowOff>0</xdr:rowOff>
    </xdr:from>
    <xdr:to>
      <xdr:col>18</xdr:col>
      <xdr:colOff>41325</xdr:colOff>
      <xdr:row>92</xdr:row>
      <xdr:rowOff>22500</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28</xdr:col>
      <xdr:colOff>495299</xdr:colOff>
      <xdr:row>11</xdr:row>
      <xdr:rowOff>47624</xdr:rowOff>
    </xdr:from>
    <xdr:to>
      <xdr:col>40</xdr:col>
      <xdr:colOff>466724</xdr:colOff>
      <xdr:row>34</xdr:row>
      <xdr:rowOff>88831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12</xdr:row>
      <xdr:rowOff>9525</xdr:rowOff>
    </xdr:from>
    <xdr:to>
      <xdr:col>5</xdr:col>
      <xdr:colOff>104775</xdr:colOff>
      <xdr:row>35</xdr:row>
      <xdr:rowOff>114300</xdr:rowOff>
    </xdr:to>
    <xdr:graphicFrame macro="">
      <xdr:nvGraphicFramePr>
        <xdr:cNvPr id="2"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56</xdr:row>
      <xdr:rowOff>19050</xdr:rowOff>
    </xdr:from>
    <xdr:to>
      <xdr:col>5</xdr:col>
      <xdr:colOff>990600</xdr:colOff>
      <xdr:row>76</xdr:row>
      <xdr:rowOff>123825</xdr:rowOff>
    </xdr:to>
    <xdr:graphicFrame macro="">
      <xdr:nvGraphicFramePr>
        <xdr:cNvPr id="3" name="Chart 148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428625</xdr:colOff>
      <xdr:row>68</xdr:row>
      <xdr:rowOff>114300</xdr:rowOff>
    </xdr:from>
    <xdr:to>
      <xdr:col>5</xdr:col>
      <xdr:colOff>666750</xdr:colOff>
      <xdr:row>74</xdr:row>
      <xdr:rowOff>0</xdr:rowOff>
    </xdr:to>
    <xdr:sp macro="" textlink="">
      <xdr:nvSpPr>
        <xdr:cNvPr id="4" name="Freeform 1486"/>
        <xdr:cNvSpPr>
          <a:spLocks noChangeAspect="1"/>
        </xdr:cNvSpPr>
      </xdr:nvSpPr>
      <xdr:spPr bwMode="auto">
        <a:xfrm>
          <a:off x="428625" y="13335000"/>
          <a:ext cx="5124450" cy="1038225"/>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008000"/>
          </a:solidFill>
          <a:prstDash val="solid"/>
          <a:round/>
          <a:headEnd type="none" w="med" len="med"/>
          <a:tailEnd type="none" w="med" len="med"/>
        </a:ln>
      </xdr:spPr>
    </xdr:sp>
    <xdr:clientData/>
  </xdr:twoCellAnchor>
  <xdr:twoCellAnchor>
    <xdr:from>
      <xdr:col>1</xdr:col>
      <xdr:colOff>257175</xdr:colOff>
      <xdr:row>66</xdr:row>
      <xdr:rowOff>28575</xdr:rowOff>
    </xdr:from>
    <xdr:to>
      <xdr:col>4</xdr:col>
      <xdr:colOff>342900</xdr:colOff>
      <xdr:row>73</xdr:row>
      <xdr:rowOff>142875</xdr:rowOff>
    </xdr:to>
    <xdr:sp macro="" textlink="">
      <xdr:nvSpPr>
        <xdr:cNvPr id="5" name="Freeform 1488"/>
        <xdr:cNvSpPr>
          <a:spLocks noChangeAspect="1"/>
        </xdr:cNvSpPr>
      </xdr:nvSpPr>
      <xdr:spPr bwMode="auto">
        <a:xfrm>
          <a:off x="1447800" y="12858750"/>
          <a:ext cx="2962275" cy="1466850"/>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FF00FF"/>
          </a:solidFill>
          <a:prstDash val="solid"/>
          <a:round/>
          <a:headEnd type="none" w="med" len="med"/>
          <a:tailEnd type="none" w="med" len="med"/>
        </a:ln>
      </xdr:spPr>
    </xdr:sp>
    <xdr:clientData/>
  </xdr:twoCellAnchor>
  <xdr:twoCellAnchor>
    <xdr:from>
      <xdr:col>1</xdr:col>
      <xdr:colOff>771525</xdr:colOff>
      <xdr:row>58</xdr:row>
      <xdr:rowOff>47625</xdr:rowOff>
    </xdr:from>
    <xdr:to>
      <xdr:col>3</xdr:col>
      <xdr:colOff>590550</xdr:colOff>
      <xdr:row>74</xdr:row>
      <xdr:rowOff>9525</xdr:rowOff>
    </xdr:to>
    <xdr:sp macro="" textlink="">
      <xdr:nvSpPr>
        <xdr:cNvPr id="6" name="Freeform 1489"/>
        <xdr:cNvSpPr>
          <a:spLocks noChangeAspect="1"/>
        </xdr:cNvSpPr>
      </xdr:nvSpPr>
      <xdr:spPr bwMode="auto">
        <a:xfrm>
          <a:off x="1962150" y="11353800"/>
          <a:ext cx="1838325" cy="3028950"/>
        </a:xfrm>
        <a:custGeom>
          <a:avLst/>
          <a:gdLst/>
          <a:ahLst/>
          <a:cxnLst>
            <a:cxn ang="0">
              <a:pos x="0" y="356"/>
            </a:cxn>
            <a:cxn ang="0">
              <a:pos x="19" y="356"/>
            </a:cxn>
            <a:cxn ang="0">
              <a:pos x="35" y="355"/>
            </a:cxn>
            <a:cxn ang="0">
              <a:pos x="53" y="355"/>
            </a:cxn>
            <a:cxn ang="0">
              <a:pos x="69" y="353"/>
            </a:cxn>
            <a:cxn ang="0">
              <a:pos x="88" y="347"/>
            </a:cxn>
            <a:cxn ang="0">
              <a:pos x="105" y="341"/>
            </a:cxn>
            <a:cxn ang="0">
              <a:pos x="122" y="327"/>
            </a:cxn>
            <a:cxn ang="0">
              <a:pos x="140" y="307"/>
            </a:cxn>
            <a:cxn ang="0">
              <a:pos x="159" y="279"/>
            </a:cxn>
            <a:cxn ang="0">
              <a:pos x="176" y="240"/>
            </a:cxn>
            <a:cxn ang="0">
              <a:pos x="193" y="193"/>
            </a:cxn>
            <a:cxn ang="0">
              <a:pos x="210" y="141"/>
            </a:cxn>
            <a:cxn ang="0">
              <a:pos x="228" y="89"/>
            </a:cxn>
            <a:cxn ang="0">
              <a:pos x="245" y="42"/>
            </a:cxn>
            <a:cxn ang="0">
              <a:pos x="264" y="11"/>
            </a:cxn>
            <a:cxn ang="0">
              <a:pos x="281" y="0"/>
            </a:cxn>
            <a:cxn ang="0">
              <a:pos x="298" y="11"/>
            </a:cxn>
            <a:cxn ang="0">
              <a:pos x="315" y="41"/>
            </a:cxn>
            <a:cxn ang="0">
              <a:pos x="333" y="88"/>
            </a:cxn>
            <a:cxn ang="0">
              <a:pos x="350" y="140"/>
            </a:cxn>
            <a:cxn ang="0">
              <a:pos x="368" y="194"/>
            </a:cxn>
            <a:cxn ang="0">
              <a:pos x="385" y="241"/>
            </a:cxn>
            <a:cxn ang="0">
              <a:pos x="403" y="279"/>
            </a:cxn>
            <a:cxn ang="0">
              <a:pos x="419" y="309"/>
            </a:cxn>
            <a:cxn ang="0">
              <a:pos x="439" y="328"/>
            </a:cxn>
            <a:cxn ang="0">
              <a:pos x="455" y="340"/>
            </a:cxn>
            <a:cxn ang="0">
              <a:pos x="472" y="349"/>
            </a:cxn>
            <a:cxn ang="0">
              <a:pos x="490" y="352"/>
            </a:cxn>
            <a:cxn ang="0">
              <a:pos x="509" y="353"/>
            </a:cxn>
            <a:cxn ang="0">
              <a:pos x="526" y="355"/>
            </a:cxn>
            <a:cxn ang="0">
              <a:pos x="543" y="355"/>
            </a:cxn>
            <a:cxn ang="0">
              <a:pos x="561" y="355"/>
            </a:cxn>
          </a:cxnLst>
          <a:rect l="0" t="0" r="r" b="b"/>
          <a:pathLst>
            <a:path w="561" h="356">
              <a:moveTo>
                <a:pt x="0" y="356"/>
              </a:moveTo>
              <a:cubicBezTo>
                <a:pt x="6" y="356"/>
                <a:pt x="13" y="356"/>
                <a:pt x="19" y="356"/>
              </a:cubicBezTo>
              <a:cubicBezTo>
                <a:pt x="25" y="356"/>
                <a:pt x="29" y="355"/>
                <a:pt x="35" y="355"/>
              </a:cubicBezTo>
              <a:cubicBezTo>
                <a:pt x="41" y="355"/>
                <a:pt x="47" y="355"/>
                <a:pt x="53" y="355"/>
              </a:cubicBezTo>
              <a:cubicBezTo>
                <a:pt x="59" y="355"/>
                <a:pt x="63" y="354"/>
                <a:pt x="69" y="353"/>
              </a:cubicBezTo>
              <a:cubicBezTo>
                <a:pt x="75" y="352"/>
                <a:pt x="82" y="349"/>
                <a:pt x="88" y="347"/>
              </a:cubicBezTo>
              <a:cubicBezTo>
                <a:pt x="94" y="345"/>
                <a:pt x="99" y="344"/>
                <a:pt x="105" y="341"/>
              </a:cubicBezTo>
              <a:cubicBezTo>
                <a:pt x="111" y="338"/>
                <a:pt x="116" y="333"/>
                <a:pt x="122" y="327"/>
              </a:cubicBezTo>
              <a:cubicBezTo>
                <a:pt x="128" y="321"/>
                <a:pt x="134" y="315"/>
                <a:pt x="140" y="307"/>
              </a:cubicBezTo>
              <a:cubicBezTo>
                <a:pt x="146" y="299"/>
                <a:pt x="153" y="290"/>
                <a:pt x="159" y="279"/>
              </a:cubicBezTo>
              <a:cubicBezTo>
                <a:pt x="165" y="268"/>
                <a:pt x="170" y="254"/>
                <a:pt x="176" y="240"/>
              </a:cubicBezTo>
              <a:cubicBezTo>
                <a:pt x="182" y="226"/>
                <a:pt x="187" y="209"/>
                <a:pt x="193" y="193"/>
              </a:cubicBezTo>
              <a:cubicBezTo>
                <a:pt x="199" y="177"/>
                <a:pt x="204" y="158"/>
                <a:pt x="210" y="141"/>
              </a:cubicBezTo>
              <a:cubicBezTo>
                <a:pt x="216" y="124"/>
                <a:pt x="222" y="105"/>
                <a:pt x="228" y="89"/>
              </a:cubicBezTo>
              <a:cubicBezTo>
                <a:pt x="234" y="73"/>
                <a:pt x="239" y="55"/>
                <a:pt x="245" y="42"/>
              </a:cubicBezTo>
              <a:cubicBezTo>
                <a:pt x="251" y="29"/>
                <a:pt x="258" y="18"/>
                <a:pt x="264" y="11"/>
              </a:cubicBezTo>
              <a:cubicBezTo>
                <a:pt x="270" y="4"/>
                <a:pt x="275" y="0"/>
                <a:pt x="281" y="0"/>
              </a:cubicBezTo>
              <a:cubicBezTo>
                <a:pt x="287" y="0"/>
                <a:pt x="292" y="4"/>
                <a:pt x="298" y="11"/>
              </a:cubicBezTo>
              <a:cubicBezTo>
                <a:pt x="304" y="18"/>
                <a:pt x="309" y="28"/>
                <a:pt x="315" y="41"/>
              </a:cubicBezTo>
              <a:cubicBezTo>
                <a:pt x="321" y="54"/>
                <a:pt x="327" y="72"/>
                <a:pt x="333" y="88"/>
              </a:cubicBezTo>
              <a:cubicBezTo>
                <a:pt x="339" y="104"/>
                <a:pt x="344" y="122"/>
                <a:pt x="350" y="140"/>
              </a:cubicBezTo>
              <a:cubicBezTo>
                <a:pt x="356" y="158"/>
                <a:pt x="362" y="177"/>
                <a:pt x="368" y="194"/>
              </a:cubicBezTo>
              <a:cubicBezTo>
                <a:pt x="374" y="211"/>
                <a:pt x="379" y="227"/>
                <a:pt x="385" y="241"/>
              </a:cubicBezTo>
              <a:cubicBezTo>
                <a:pt x="391" y="255"/>
                <a:pt x="397" y="268"/>
                <a:pt x="403" y="279"/>
              </a:cubicBezTo>
              <a:cubicBezTo>
                <a:pt x="409" y="290"/>
                <a:pt x="413" y="301"/>
                <a:pt x="419" y="309"/>
              </a:cubicBezTo>
              <a:cubicBezTo>
                <a:pt x="425" y="317"/>
                <a:pt x="433" y="323"/>
                <a:pt x="439" y="328"/>
              </a:cubicBezTo>
              <a:cubicBezTo>
                <a:pt x="445" y="333"/>
                <a:pt x="450" y="337"/>
                <a:pt x="455" y="340"/>
              </a:cubicBezTo>
              <a:cubicBezTo>
                <a:pt x="460" y="343"/>
                <a:pt x="466" y="347"/>
                <a:pt x="472" y="349"/>
              </a:cubicBezTo>
              <a:cubicBezTo>
                <a:pt x="478" y="351"/>
                <a:pt x="484" y="351"/>
                <a:pt x="490" y="352"/>
              </a:cubicBezTo>
              <a:cubicBezTo>
                <a:pt x="496" y="353"/>
                <a:pt x="503" y="352"/>
                <a:pt x="509" y="353"/>
              </a:cubicBezTo>
              <a:cubicBezTo>
                <a:pt x="515" y="354"/>
                <a:pt x="520" y="355"/>
                <a:pt x="526" y="355"/>
              </a:cubicBezTo>
              <a:cubicBezTo>
                <a:pt x="532" y="355"/>
                <a:pt x="537" y="355"/>
                <a:pt x="543" y="355"/>
              </a:cubicBezTo>
              <a:cubicBezTo>
                <a:pt x="549" y="355"/>
                <a:pt x="558" y="355"/>
                <a:pt x="561" y="355"/>
              </a:cubicBezTo>
            </a:path>
          </a:pathLst>
        </a:custGeom>
        <a:noFill/>
        <a:ln w="25400" cap="flat" cmpd="sng">
          <a:solidFill>
            <a:srgbClr val="000080"/>
          </a:solidFill>
          <a:prstDash val="solid"/>
          <a:round/>
          <a:headEnd type="none" w="med" len="med"/>
          <a:tailEnd type="none" w="med" len="med"/>
        </a:ln>
      </xdr:spPr>
    </xdr:sp>
    <xdr:clientData/>
  </xdr:twoCellAnchor>
  <xdr:twoCellAnchor>
    <xdr:from>
      <xdr:col>2</xdr:col>
      <xdr:colOff>800100</xdr:colOff>
      <xdr:row>58</xdr:row>
      <xdr:rowOff>114300</xdr:rowOff>
    </xdr:from>
    <xdr:to>
      <xdr:col>3</xdr:col>
      <xdr:colOff>590550</xdr:colOff>
      <xdr:row>60</xdr:row>
      <xdr:rowOff>9525</xdr:rowOff>
    </xdr:to>
    <xdr:sp macro="" textlink="">
      <xdr:nvSpPr>
        <xdr:cNvPr id="7" name="Text Box 1490"/>
        <xdr:cNvSpPr txBox="1">
          <a:spLocks noChangeArrowheads="1"/>
        </xdr:cNvSpPr>
      </xdr:nvSpPr>
      <xdr:spPr bwMode="auto">
        <a:xfrm>
          <a:off x="3076575" y="11420475"/>
          <a:ext cx="723900" cy="2762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80"/>
              </a:solidFill>
              <a:latin typeface="Arial"/>
              <a:cs typeface="Arial"/>
            </a:rPr>
            <a:t>Stock L</a:t>
          </a:r>
        </a:p>
      </xdr:txBody>
    </xdr:sp>
    <xdr:clientData/>
  </xdr:twoCellAnchor>
  <xdr:twoCellAnchor>
    <xdr:from>
      <xdr:col>4</xdr:col>
      <xdr:colOff>676275</xdr:colOff>
      <xdr:row>72</xdr:row>
      <xdr:rowOff>0</xdr:rowOff>
    </xdr:from>
    <xdr:to>
      <xdr:col>5</xdr:col>
      <xdr:colOff>581025</xdr:colOff>
      <xdr:row>73</xdr:row>
      <xdr:rowOff>57150</xdr:rowOff>
    </xdr:to>
    <xdr:sp macro="" textlink="">
      <xdr:nvSpPr>
        <xdr:cNvPr id="8" name="Text Box 1491"/>
        <xdr:cNvSpPr txBox="1">
          <a:spLocks noChangeArrowheads="1"/>
        </xdr:cNvSpPr>
      </xdr:nvSpPr>
      <xdr:spPr bwMode="auto">
        <a:xfrm>
          <a:off x="4743450" y="13992225"/>
          <a:ext cx="723900" cy="24765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8000"/>
              </a:solidFill>
              <a:latin typeface="Arial"/>
              <a:cs typeface="Arial"/>
            </a:rPr>
            <a:t>Stock H</a:t>
          </a:r>
        </a:p>
      </xdr:txBody>
    </xdr:sp>
    <xdr:clientData/>
  </xdr:twoCellAnchor>
  <xdr:twoCellAnchor>
    <xdr:from>
      <xdr:col>3</xdr:col>
      <xdr:colOff>466725</xdr:colOff>
      <xdr:row>66</xdr:row>
      <xdr:rowOff>95250</xdr:rowOff>
    </xdr:from>
    <xdr:to>
      <xdr:col>4</xdr:col>
      <xdr:colOff>333375</xdr:colOff>
      <xdr:row>67</xdr:row>
      <xdr:rowOff>152400</xdr:rowOff>
    </xdr:to>
    <xdr:sp macro="" textlink="">
      <xdr:nvSpPr>
        <xdr:cNvPr id="9" name="Text Box 1492"/>
        <xdr:cNvSpPr txBox="1">
          <a:spLocks noChangeArrowheads="1"/>
        </xdr:cNvSpPr>
      </xdr:nvSpPr>
      <xdr:spPr bwMode="auto">
        <a:xfrm>
          <a:off x="3676650" y="12925425"/>
          <a:ext cx="723900" cy="24765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FF00FF"/>
              </a:solidFill>
              <a:latin typeface="Arial"/>
              <a:cs typeface="Arial"/>
            </a:rPr>
            <a:t>Stock A</a:t>
          </a:r>
        </a:p>
      </xdr:txBody>
    </xdr:sp>
    <xdr:clientData/>
  </xdr:twoCellAnchor>
  <xdr:twoCellAnchor>
    <xdr:from>
      <xdr:col>3</xdr:col>
      <xdr:colOff>104775</xdr:colOff>
      <xdr:row>67</xdr:row>
      <xdr:rowOff>47625</xdr:rowOff>
    </xdr:from>
    <xdr:to>
      <xdr:col>3</xdr:col>
      <xdr:colOff>466725</xdr:colOff>
      <xdr:row>68</xdr:row>
      <xdr:rowOff>76200</xdr:rowOff>
    </xdr:to>
    <xdr:sp macro="" textlink="">
      <xdr:nvSpPr>
        <xdr:cNvPr id="10" name="Line 1493"/>
        <xdr:cNvSpPr>
          <a:spLocks noChangeShapeType="1"/>
        </xdr:cNvSpPr>
      </xdr:nvSpPr>
      <xdr:spPr bwMode="auto">
        <a:xfrm flipH="1">
          <a:off x="3314700" y="13068300"/>
          <a:ext cx="361950" cy="228600"/>
        </a:xfrm>
        <a:prstGeom prst="line">
          <a:avLst/>
        </a:prstGeom>
        <a:noFill/>
        <a:ln w="9525">
          <a:solidFill>
            <a:srgbClr val="000000"/>
          </a:solidFill>
          <a:round/>
          <a:headEnd/>
          <a:tailEnd type="triangle" w="med" len="med"/>
        </a:ln>
      </xdr:spPr>
    </xdr:sp>
    <xdr:clientData/>
  </xdr:twoCellAnchor>
</xdr:wsDr>
</file>

<file path=xl/drawings/drawing4.xml><?xml version="1.0" encoding="utf-8"?>
<c:userShapes xmlns:c="http://schemas.openxmlformats.org/drawingml/2006/chart">
  <cdr:relSizeAnchor xmlns:cdr="http://schemas.openxmlformats.org/drawingml/2006/chartDrawing">
    <cdr:from>
      <cdr:x>0.75668</cdr:x>
      <cdr:y>0.18895</cdr:y>
    </cdr:from>
    <cdr:to>
      <cdr:x>0.99</cdr:x>
      <cdr:y>0.22899</cdr:y>
    </cdr:to>
    <cdr:sp macro="" textlink="">
      <cdr:nvSpPr>
        <cdr:cNvPr id="710657" name="Text Box 1"/>
        <cdr:cNvSpPr txBox="1">
          <a:spLocks xmlns:a="http://schemas.openxmlformats.org/drawingml/2006/main" noChangeArrowheads="1"/>
        </cdr:cNvSpPr>
      </cdr:nvSpPr>
      <cdr:spPr bwMode="auto">
        <a:xfrm xmlns:a="http://schemas.openxmlformats.org/drawingml/2006/main">
          <a:off x="3737889" y="804894"/>
          <a:ext cx="1151611" cy="16987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H:  b = 1.5</a:t>
          </a:r>
        </a:p>
      </cdr:txBody>
    </cdr:sp>
  </cdr:relSizeAnchor>
  <cdr:relSizeAnchor xmlns:cdr="http://schemas.openxmlformats.org/drawingml/2006/chartDrawing">
    <cdr:from>
      <cdr:x>0.75668</cdr:x>
      <cdr:y>0.28832</cdr:y>
    </cdr:from>
    <cdr:to>
      <cdr:x>0.99</cdr:x>
      <cdr:y>0.32909</cdr:y>
    </cdr:to>
    <cdr:sp macro="" textlink="">
      <cdr:nvSpPr>
        <cdr:cNvPr id="710658" name="Text Box 2"/>
        <cdr:cNvSpPr txBox="1">
          <a:spLocks xmlns:a="http://schemas.openxmlformats.org/drawingml/2006/main" noChangeArrowheads="1"/>
        </cdr:cNvSpPr>
      </cdr:nvSpPr>
      <cdr:spPr bwMode="auto">
        <a:xfrm xmlns:a="http://schemas.openxmlformats.org/drawingml/2006/main">
          <a:off x="3737889" y="1226483"/>
          <a:ext cx="1151611" cy="1729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A:  b = 1.0</a:t>
          </a:r>
        </a:p>
      </cdr:txBody>
    </cdr:sp>
  </cdr:relSizeAnchor>
  <cdr:relSizeAnchor xmlns:cdr="http://schemas.openxmlformats.org/drawingml/2006/chartDrawing">
    <cdr:from>
      <cdr:x>0.75668</cdr:x>
      <cdr:y>0.38768</cdr:y>
    </cdr:from>
    <cdr:to>
      <cdr:x>0.99</cdr:x>
      <cdr:y>0.42772</cdr:y>
    </cdr:to>
    <cdr:sp macro="" textlink="">
      <cdr:nvSpPr>
        <cdr:cNvPr id="710659" name="Text Box 3"/>
        <cdr:cNvSpPr txBox="1">
          <a:spLocks xmlns:a="http://schemas.openxmlformats.org/drawingml/2006/main" noChangeArrowheads="1"/>
        </cdr:cNvSpPr>
      </cdr:nvSpPr>
      <cdr:spPr bwMode="auto">
        <a:xfrm xmlns:a="http://schemas.openxmlformats.org/drawingml/2006/main">
          <a:off x="3737889" y="1648071"/>
          <a:ext cx="1151611" cy="169878"/>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en-US" sz="1100" b="1" i="0" u="none" strike="noStrike" baseline="0">
              <a:solidFill>
                <a:srgbClr val="000000"/>
              </a:solidFill>
              <a:latin typeface="Times New Roman"/>
              <a:cs typeface="Times New Roman"/>
            </a:rPr>
            <a:t>Stock L:  b  = 0.5</a:t>
          </a:r>
        </a:p>
      </cdr:txBody>
    </cdr:sp>
  </cdr:relSizeAnchor>
</c:userShapes>
</file>

<file path=xl/drawings/drawing5.xml><?xml version="1.0" encoding="utf-8"?>
<xdr:wsDr xmlns:xdr="http://schemas.openxmlformats.org/drawingml/2006/spreadsheetDrawing" xmlns:a="http://schemas.openxmlformats.org/drawingml/2006/main">
  <xdr:twoCellAnchor editAs="oneCell">
    <xdr:from>
      <xdr:col>7</xdr:col>
      <xdr:colOff>514350</xdr:colOff>
      <xdr:row>19</xdr:row>
      <xdr:rowOff>161924</xdr:rowOff>
    </xdr:from>
    <xdr:to>
      <xdr:col>10</xdr:col>
      <xdr:colOff>302251</xdr:colOff>
      <xdr:row>26</xdr:row>
      <xdr:rowOff>69687</xdr:rowOff>
    </xdr:to>
    <xdr:pic>
      <xdr:nvPicPr>
        <xdr:cNvPr id="4" name="Picture 3" descr="A Constant Volatility Framework for Managing Tail Risk (paper) | Algorithmic Trading | Scoop.it"/>
        <xdr:cNvPicPr>
          <a:picLocks noChangeAspect="1" noChangeArrowheads="1"/>
        </xdr:cNvPicPr>
      </xdr:nvPicPr>
      <xdr:blipFill>
        <a:blip xmlns:r="http://schemas.openxmlformats.org/officeDocument/2006/relationships" r:embed="rId1" cstate="print"/>
        <a:srcRect/>
        <a:stretch>
          <a:fillRect/>
        </a:stretch>
      </xdr:blipFill>
      <xdr:spPr bwMode="auto">
        <a:xfrm>
          <a:off x="6829425" y="3886199"/>
          <a:ext cx="1826251" cy="1260313"/>
        </a:xfrm>
        <a:prstGeom prst="rect">
          <a:avLst/>
        </a:prstGeom>
        <a:noFill/>
      </xdr:spPr>
    </xdr:pic>
    <xdr:clientData/>
  </xdr:twoCellAnchor>
  <xdr:twoCellAnchor>
    <xdr:from>
      <xdr:col>6</xdr:col>
      <xdr:colOff>561974</xdr:colOff>
      <xdr:row>31</xdr:row>
      <xdr:rowOff>95250</xdr:rowOff>
    </xdr:from>
    <xdr:to>
      <xdr:col>15</xdr:col>
      <xdr:colOff>457199</xdr:colOff>
      <xdr:row>46</xdr:row>
      <xdr:rowOff>19050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47</xdr:row>
      <xdr:rowOff>19050</xdr:rowOff>
    </xdr:from>
    <xdr:to>
      <xdr:col>1</xdr:col>
      <xdr:colOff>876300</xdr:colOff>
      <xdr:row>61</xdr:row>
      <xdr:rowOff>0</xdr:rowOff>
    </xdr:to>
    <xdr:graphicFrame macro="">
      <xdr:nvGraphicFramePr>
        <xdr:cNvPr id="2"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914400</xdr:colOff>
      <xdr:row>47</xdr:row>
      <xdr:rowOff>19050</xdr:rowOff>
    </xdr:from>
    <xdr:to>
      <xdr:col>4</xdr:col>
      <xdr:colOff>85725</xdr:colOff>
      <xdr:row>61</xdr:row>
      <xdr:rowOff>0</xdr:rowOff>
    </xdr:to>
    <xdr:graphicFrame macro="">
      <xdr:nvGraphicFramePr>
        <xdr:cNvPr id="3" name="Chart 14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123825</xdr:colOff>
      <xdr:row>47</xdr:row>
      <xdr:rowOff>0</xdr:rowOff>
    </xdr:from>
    <xdr:to>
      <xdr:col>6</xdr:col>
      <xdr:colOff>342900</xdr:colOff>
      <xdr:row>61</xdr:row>
      <xdr:rowOff>0</xdr:rowOff>
    </xdr:to>
    <xdr:graphicFrame macro="">
      <xdr:nvGraphicFramePr>
        <xdr:cNvPr id="4" name="Chart 14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83</xdr:row>
      <xdr:rowOff>19050</xdr:rowOff>
    </xdr:from>
    <xdr:to>
      <xdr:col>1</xdr:col>
      <xdr:colOff>876300</xdr:colOff>
      <xdr:row>97</xdr:row>
      <xdr:rowOff>0</xdr:rowOff>
    </xdr:to>
    <xdr:graphicFrame macro="">
      <xdr:nvGraphicFramePr>
        <xdr:cNvPr id="5"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914400</xdr:colOff>
      <xdr:row>83</xdr:row>
      <xdr:rowOff>19050</xdr:rowOff>
    </xdr:from>
    <xdr:to>
      <xdr:col>4</xdr:col>
      <xdr:colOff>85725</xdr:colOff>
      <xdr:row>97</xdr:row>
      <xdr:rowOff>0</xdr:rowOff>
    </xdr:to>
    <xdr:graphicFrame macro="">
      <xdr:nvGraphicFramePr>
        <xdr:cNvPr id="6" name="Chart 147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123825</xdr:colOff>
      <xdr:row>83</xdr:row>
      <xdr:rowOff>0</xdr:rowOff>
    </xdr:from>
    <xdr:to>
      <xdr:col>6</xdr:col>
      <xdr:colOff>342900</xdr:colOff>
      <xdr:row>97</xdr:row>
      <xdr:rowOff>0</xdr:rowOff>
    </xdr:to>
    <xdr:graphicFrame macro="">
      <xdr:nvGraphicFramePr>
        <xdr:cNvPr id="7" name="Chart 148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19050</xdr:colOff>
      <xdr:row>119</xdr:row>
      <xdr:rowOff>19050</xdr:rowOff>
    </xdr:from>
    <xdr:to>
      <xdr:col>1</xdr:col>
      <xdr:colOff>876300</xdr:colOff>
      <xdr:row>133</xdr:row>
      <xdr:rowOff>0</xdr:rowOff>
    </xdr:to>
    <xdr:graphicFrame macro="">
      <xdr:nvGraphicFramePr>
        <xdr:cNvPr id="8"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119</xdr:row>
      <xdr:rowOff>19050</xdr:rowOff>
    </xdr:from>
    <xdr:to>
      <xdr:col>4</xdr:col>
      <xdr:colOff>85725</xdr:colOff>
      <xdr:row>133</xdr:row>
      <xdr:rowOff>0</xdr:rowOff>
    </xdr:to>
    <xdr:graphicFrame macro="">
      <xdr:nvGraphicFramePr>
        <xdr:cNvPr id="9" name="Chart 148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123825</xdr:colOff>
      <xdr:row>119</xdr:row>
      <xdr:rowOff>0</xdr:rowOff>
    </xdr:from>
    <xdr:to>
      <xdr:col>6</xdr:col>
      <xdr:colOff>342900</xdr:colOff>
      <xdr:row>133</xdr:row>
      <xdr:rowOff>0</xdr:rowOff>
    </xdr:to>
    <xdr:graphicFrame macro="">
      <xdr:nvGraphicFramePr>
        <xdr:cNvPr id="10" name="Chart 14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am3-Solved%204%20March%20201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ily Returns"/>
      <sheetName val="Financial Data"/>
      <sheetName val="Company Info"/>
      <sheetName val="Monthly Returns"/>
      <sheetName val="Financial Planning"/>
      <sheetName val="Security Analysis"/>
      <sheetName val="Matrix"/>
      <sheetName val="Equity"/>
      <sheetName val="Stocks and Bond"/>
      <sheetName val="Margin"/>
      <sheetName val="Probability"/>
      <sheetName val="Client"/>
      <sheetName val="APT"/>
    </sheetNames>
    <sheetDataSet>
      <sheetData sheetId="0"/>
      <sheetData sheetId="1"/>
      <sheetData sheetId="2"/>
      <sheetData sheetId="3"/>
      <sheetData sheetId="4"/>
      <sheetData sheetId="5"/>
      <sheetData sheetId="6"/>
      <sheetData sheetId="7"/>
      <sheetData sheetId="8"/>
      <sheetData sheetId="9"/>
      <sheetData sheetId="10"/>
      <sheetData sheetId="11">
        <row r="13">
          <cell r="C13">
            <v>5.0000000000000001E-3</v>
          </cell>
        </row>
      </sheetData>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3.vml"/><Relationship Id="rId1" Type="http://schemas.openxmlformats.org/officeDocument/2006/relationships/drawing" Target="../drawings/drawing2.xml"/><Relationship Id="rId5" Type="http://schemas.openxmlformats.org/officeDocument/2006/relationships/comments" Target="../comments3.xml"/><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5.vml"/><Relationship Id="rId1" Type="http://schemas.openxmlformats.org/officeDocument/2006/relationships/drawing" Target="../drawings/drawing5.xml"/><Relationship Id="rId5" Type="http://schemas.openxmlformats.org/officeDocument/2006/relationships/comments" Target="../comments5.xml"/><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6.vml"/><Relationship Id="rId1" Type="http://schemas.openxmlformats.org/officeDocument/2006/relationships/printerSettings" Target="../printerSettings/printerSettings2.bin"/><Relationship Id="rId6" Type="http://schemas.openxmlformats.org/officeDocument/2006/relationships/comments" Target="../comments6.xml"/><Relationship Id="rId5" Type="http://schemas.openxmlformats.org/officeDocument/2006/relationships/oleObject" Target="../embeddings/oleObject7.bin"/><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dimension ref="A1:BB184"/>
  <sheetViews>
    <sheetView topLeftCell="A157" zoomScale="70" zoomScaleNormal="70" workbookViewId="0">
      <selection activeCell="B178" sqref="B178"/>
    </sheetView>
  </sheetViews>
  <sheetFormatPr defaultRowHeight="15"/>
  <cols>
    <col min="1" max="1" width="12.42578125" bestFit="1" customWidth="1"/>
    <col min="2" max="2" width="26.7109375" customWidth="1"/>
    <col min="3" max="31" width="13.140625" bestFit="1" customWidth="1"/>
    <col min="32" max="32" width="13.85546875" bestFit="1" customWidth="1"/>
    <col min="33" max="45" width="13.140625" bestFit="1" customWidth="1"/>
    <col min="46" max="46" width="13.85546875" bestFit="1" customWidth="1"/>
  </cols>
  <sheetData>
    <row r="1" spans="1:54" s="291" customFormat="1" ht="12.75">
      <c r="B1" s="1" t="s">
        <v>149</v>
      </c>
      <c r="C1" s="288">
        <v>3</v>
      </c>
      <c r="D1" s="289">
        <v>5</v>
      </c>
      <c r="E1" s="289">
        <v>7</v>
      </c>
      <c r="F1" s="289">
        <v>9</v>
      </c>
      <c r="G1" s="289">
        <v>11</v>
      </c>
      <c r="H1" s="289">
        <v>13</v>
      </c>
      <c r="I1" s="289">
        <v>15</v>
      </c>
      <c r="J1" s="289">
        <v>17</v>
      </c>
      <c r="K1" s="289">
        <v>19</v>
      </c>
      <c r="L1" s="289">
        <v>21</v>
      </c>
      <c r="M1" s="289">
        <v>23</v>
      </c>
      <c r="N1" s="289">
        <v>25</v>
      </c>
      <c r="O1" s="289">
        <v>27</v>
      </c>
      <c r="P1" s="289">
        <v>29</v>
      </c>
      <c r="Q1" s="289">
        <v>31</v>
      </c>
      <c r="R1" s="289">
        <v>33</v>
      </c>
      <c r="S1" s="289">
        <v>35</v>
      </c>
      <c r="T1" s="289">
        <v>37</v>
      </c>
      <c r="U1" s="289">
        <v>39</v>
      </c>
      <c r="V1" s="289">
        <v>41</v>
      </c>
      <c r="W1" s="289">
        <v>43</v>
      </c>
      <c r="X1" s="289">
        <v>45</v>
      </c>
      <c r="Y1" s="289">
        <v>47</v>
      </c>
      <c r="Z1" s="289">
        <v>49</v>
      </c>
      <c r="AA1" s="289">
        <v>51</v>
      </c>
      <c r="AB1" s="289">
        <v>53</v>
      </c>
      <c r="AC1" s="289">
        <v>55</v>
      </c>
      <c r="AD1" s="289">
        <v>57</v>
      </c>
      <c r="AE1" s="289">
        <v>61</v>
      </c>
      <c r="AF1" s="289">
        <v>63</v>
      </c>
      <c r="AG1" s="289">
        <v>65</v>
      </c>
      <c r="AH1" s="289">
        <v>67</v>
      </c>
      <c r="AI1" s="289">
        <v>71</v>
      </c>
      <c r="AJ1" s="289">
        <v>73</v>
      </c>
      <c r="AK1" s="289">
        <v>75</v>
      </c>
      <c r="AL1" s="289">
        <v>77</v>
      </c>
      <c r="AM1" s="289">
        <v>79</v>
      </c>
      <c r="AN1" s="289">
        <v>81</v>
      </c>
      <c r="AO1" s="289">
        <v>83</v>
      </c>
      <c r="AP1" s="289">
        <v>85</v>
      </c>
      <c r="AQ1" s="289">
        <v>87</v>
      </c>
      <c r="AR1" s="289">
        <v>89</v>
      </c>
      <c r="AS1" s="289">
        <v>91</v>
      </c>
      <c r="AT1" s="289">
        <v>93</v>
      </c>
      <c r="AU1" s="290"/>
      <c r="AV1" s="290"/>
      <c r="AW1" s="290"/>
      <c r="AX1" s="290"/>
      <c r="AY1" s="290"/>
      <c r="AZ1" s="290"/>
      <c r="BA1" s="290"/>
      <c r="BB1" s="290"/>
    </row>
    <row r="2" spans="1:54" s="291" customFormat="1">
      <c r="A2" s="283">
        <v>1</v>
      </c>
      <c r="B2" s="292" t="s">
        <v>1</v>
      </c>
      <c r="C2" s="293" t="s">
        <v>2</v>
      </c>
      <c r="D2" s="293" t="s">
        <v>3</v>
      </c>
      <c r="E2" s="293" t="s">
        <v>4</v>
      </c>
      <c r="F2" s="293" t="s">
        <v>5</v>
      </c>
      <c r="G2" s="293" t="s">
        <v>6</v>
      </c>
      <c r="H2" s="293" t="s">
        <v>7</v>
      </c>
      <c r="I2" s="293" t="s">
        <v>8</v>
      </c>
      <c r="J2" s="293" t="s">
        <v>9</v>
      </c>
      <c r="K2" s="293" t="s">
        <v>10</v>
      </c>
      <c r="L2" s="293" t="s">
        <v>11</v>
      </c>
      <c r="M2" s="293" t="s">
        <v>12</v>
      </c>
      <c r="N2" s="293" t="s">
        <v>13</v>
      </c>
      <c r="O2" s="293" t="s">
        <v>14</v>
      </c>
      <c r="P2" s="293" t="s">
        <v>15</v>
      </c>
      <c r="Q2" s="293" t="s">
        <v>16</v>
      </c>
      <c r="R2" s="293" t="s">
        <v>17</v>
      </c>
      <c r="S2" s="293" t="s">
        <v>18</v>
      </c>
      <c r="T2" s="293" t="s">
        <v>19</v>
      </c>
      <c r="U2" s="293" t="s">
        <v>20</v>
      </c>
      <c r="V2" s="293" t="s">
        <v>21</v>
      </c>
      <c r="W2" s="293" t="s">
        <v>22</v>
      </c>
      <c r="X2" s="293" t="s">
        <v>23</v>
      </c>
      <c r="Y2" s="293" t="s">
        <v>24</v>
      </c>
      <c r="Z2" s="293" t="s">
        <v>25</v>
      </c>
      <c r="AA2" s="293" t="s">
        <v>26</v>
      </c>
      <c r="AB2" s="293" t="s">
        <v>27</v>
      </c>
      <c r="AC2" s="293" t="s">
        <v>28</v>
      </c>
      <c r="AD2" s="293" t="s">
        <v>29</v>
      </c>
      <c r="AE2" s="293" t="s">
        <v>30</v>
      </c>
      <c r="AF2" s="293" t="s">
        <v>31</v>
      </c>
      <c r="AG2" s="293" t="s">
        <v>32</v>
      </c>
      <c r="AH2" s="293" t="s">
        <v>33</v>
      </c>
      <c r="AI2" s="293" t="s">
        <v>34</v>
      </c>
      <c r="AJ2" s="293" t="s">
        <v>35</v>
      </c>
      <c r="AK2" s="293" t="s">
        <v>36</v>
      </c>
      <c r="AL2" s="293" t="s">
        <v>37</v>
      </c>
      <c r="AM2" s="293" t="s">
        <v>38</v>
      </c>
      <c r="AN2" s="293" t="s">
        <v>39</v>
      </c>
      <c r="AO2" s="293" t="s">
        <v>40</v>
      </c>
      <c r="AP2" s="293" t="s">
        <v>41</v>
      </c>
      <c r="AQ2" s="293" t="s">
        <v>42</v>
      </c>
      <c r="AR2" s="293" t="s">
        <v>43</v>
      </c>
      <c r="AS2" s="293" t="s">
        <v>44</v>
      </c>
      <c r="AT2" s="2" t="s">
        <v>45</v>
      </c>
      <c r="AU2" s="294"/>
      <c r="AV2" s="294"/>
      <c r="AW2" s="294"/>
      <c r="AX2" s="294"/>
      <c r="AY2" s="294"/>
      <c r="AZ2" s="294"/>
      <c r="BA2" s="294"/>
      <c r="BB2" s="294"/>
    </row>
    <row r="3" spans="1:54" s="291" customFormat="1">
      <c r="A3" s="283">
        <v>2</v>
      </c>
      <c r="B3" s="3">
        <v>39719</v>
      </c>
      <c r="C3" s="4">
        <v>238420.0313</v>
      </c>
      <c r="D3" s="4">
        <v>44285.671900000001</v>
      </c>
      <c r="E3" s="4">
        <v>194701.9688</v>
      </c>
      <c r="F3" s="4">
        <v>37649.460899999998</v>
      </c>
      <c r="G3" s="4">
        <v>12166</v>
      </c>
      <c r="H3" s="4">
        <v>98401.132800000007</v>
      </c>
      <c r="I3" s="4">
        <v>79893.882800000007</v>
      </c>
      <c r="J3" s="4">
        <v>42600</v>
      </c>
      <c r="K3" s="4">
        <v>33858.582000000002</v>
      </c>
      <c r="L3" s="4">
        <v>23304.623</v>
      </c>
      <c r="M3" s="4">
        <v>12779.218800000001</v>
      </c>
      <c r="N3" s="4">
        <v>35950.464800000002</v>
      </c>
      <c r="O3" s="4">
        <v>30530.9473</v>
      </c>
      <c r="P3" s="4">
        <v>48526</v>
      </c>
      <c r="Q3" s="4">
        <v>19833.351600000002</v>
      </c>
      <c r="R3" s="4">
        <v>33167.296900000001</v>
      </c>
      <c r="S3" s="4">
        <v>40960.222699999998</v>
      </c>
      <c r="T3" s="4">
        <v>11045.3174</v>
      </c>
      <c r="U3" s="4">
        <v>79754.078099999999</v>
      </c>
      <c r="V3" s="4">
        <v>15852.103499999999</v>
      </c>
      <c r="W3" s="4">
        <v>148382.125</v>
      </c>
      <c r="X3" s="4">
        <v>12710</v>
      </c>
      <c r="Y3" s="4">
        <v>67637.484400000001</v>
      </c>
      <c r="Z3" s="4">
        <v>61654.910199999998</v>
      </c>
      <c r="AA3" s="4">
        <v>13604.5635</v>
      </c>
      <c r="AB3" s="4">
        <v>40116.796900000001</v>
      </c>
      <c r="AC3" s="4">
        <v>15696.761699999999</v>
      </c>
      <c r="AD3" s="4">
        <v>15558.8984</v>
      </c>
      <c r="AE3" s="4">
        <v>419960.1875</v>
      </c>
      <c r="AF3" s="4">
        <v>643882.875</v>
      </c>
      <c r="AG3" s="4">
        <v>50750</v>
      </c>
      <c r="AH3" s="4">
        <v>153600</v>
      </c>
      <c r="AI3" s="4">
        <v>38475</v>
      </c>
      <c r="AJ3" s="4">
        <v>130419.80469999999</v>
      </c>
      <c r="AK3" s="4">
        <v>19680</v>
      </c>
      <c r="AL3" s="4">
        <v>12089.776400000001</v>
      </c>
      <c r="AM3" s="4">
        <v>20216.916000000001</v>
      </c>
      <c r="AN3" s="4">
        <v>84661.156300000002</v>
      </c>
      <c r="AO3" s="4">
        <v>15487.501</v>
      </c>
      <c r="AP3" s="4">
        <v>17310.150399999999</v>
      </c>
      <c r="AQ3" s="4">
        <v>14131.2646</v>
      </c>
      <c r="AR3" s="4">
        <v>16574.873</v>
      </c>
      <c r="AS3" s="4">
        <v>41536.742200000001</v>
      </c>
      <c r="AT3" s="4">
        <v>3448095.25</v>
      </c>
      <c r="AU3" s="295"/>
      <c r="AV3" s="295"/>
      <c r="AW3" s="295"/>
      <c r="AX3" s="295"/>
      <c r="AY3" s="295"/>
      <c r="AZ3" s="295"/>
      <c r="BA3" s="295"/>
      <c r="BB3" s="295"/>
    </row>
    <row r="4" spans="1:54" s="291" customFormat="1">
      <c r="A4" s="283">
        <v>3</v>
      </c>
      <c r="B4" s="3">
        <v>39749</v>
      </c>
      <c r="C4" s="4">
        <v>216206.98439999999</v>
      </c>
      <c r="D4" s="4">
        <v>26999.972699999998</v>
      </c>
      <c r="E4" s="4">
        <v>132664.57810000001</v>
      </c>
      <c r="F4" s="4">
        <v>24289.974600000001</v>
      </c>
      <c r="G4" s="4">
        <v>9317</v>
      </c>
      <c r="H4" s="4">
        <v>61348.855499999998</v>
      </c>
      <c r="I4" s="4">
        <v>43751.410199999998</v>
      </c>
      <c r="J4" s="4">
        <v>33200</v>
      </c>
      <c r="K4" s="4">
        <v>24442.291000000001</v>
      </c>
      <c r="L4" s="4">
        <v>16021.9287</v>
      </c>
      <c r="M4" s="4">
        <v>7191.9193999999998</v>
      </c>
      <c r="N4" s="4">
        <v>20154.0488</v>
      </c>
      <c r="O4" s="4">
        <v>22860.6113</v>
      </c>
      <c r="P4" s="4">
        <v>34597.238299999997</v>
      </c>
      <c r="Q4" s="4">
        <v>12972.757799999999</v>
      </c>
      <c r="R4" s="4">
        <v>31061.4355</v>
      </c>
      <c r="S4" s="4">
        <v>29257.300800000001</v>
      </c>
      <c r="T4" s="4">
        <v>8553.8925999999992</v>
      </c>
      <c r="U4" s="4">
        <v>44534.589800000002</v>
      </c>
      <c r="V4" s="4">
        <v>10316.448200000001</v>
      </c>
      <c r="W4" s="4">
        <v>119663.00780000001</v>
      </c>
      <c r="X4" s="4">
        <v>7827.5005000000001</v>
      </c>
      <c r="Y4" s="4">
        <v>43824.617200000001</v>
      </c>
      <c r="Z4" s="4">
        <v>36694.070299999999</v>
      </c>
      <c r="AA4" s="4">
        <v>8588.7402000000002</v>
      </c>
      <c r="AB4" s="4">
        <v>27287.416000000001</v>
      </c>
      <c r="AC4" s="4">
        <v>8004.3086000000003</v>
      </c>
      <c r="AD4" s="4">
        <v>10080.4131</v>
      </c>
      <c r="AE4" s="4">
        <v>284382.5</v>
      </c>
      <c r="AF4" s="4">
        <v>449025</v>
      </c>
      <c r="AG4" s="4">
        <v>44950</v>
      </c>
      <c r="AH4" s="4">
        <v>122400</v>
      </c>
      <c r="AI4" s="4">
        <v>25412.5</v>
      </c>
      <c r="AJ4" s="4">
        <v>132834.32810000001</v>
      </c>
      <c r="AK4" s="4">
        <v>14400</v>
      </c>
      <c r="AL4" s="4">
        <v>5636.4497000000001</v>
      </c>
      <c r="AM4" s="4">
        <v>12911.643599999999</v>
      </c>
      <c r="AN4" s="4">
        <v>42024.574200000003</v>
      </c>
      <c r="AO4" s="4">
        <v>9100</v>
      </c>
      <c r="AP4" s="4">
        <v>14572.320299999999</v>
      </c>
      <c r="AQ4" s="4">
        <v>9465.2803000000004</v>
      </c>
      <c r="AR4" s="4">
        <v>7724.2129000000004</v>
      </c>
      <c r="AS4" s="4">
        <v>23260.5762</v>
      </c>
      <c r="AT4" s="4">
        <v>2416867.5</v>
      </c>
      <c r="AU4" s="295"/>
      <c r="AV4" s="295"/>
      <c r="AW4" s="295"/>
      <c r="AX4" s="295"/>
      <c r="AY4" s="295"/>
      <c r="AZ4" s="295"/>
      <c r="BA4" s="295"/>
      <c r="BB4" s="295"/>
    </row>
    <row r="5" spans="1:54" s="291" customFormat="1">
      <c r="A5" s="283">
        <v>4</v>
      </c>
      <c r="B5" s="3">
        <v>39780</v>
      </c>
      <c r="C5" s="4">
        <v>228053.9375</v>
      </c>
      <c r="D5" s="4">
        <v>25428.544900000001</v>
      </c>
      <c r="E5" s="4">
        <v>125029.21090000001</v>
      </c>
      <c r="F5" s="4">
        <v>19067.6309</v>
      </c>
      <c r="G5" s="4">
        <v>9702</v>
      </c>
      <c r="H5" s="4">
        <v>58008.074200000003</v>
      </c>
      <c r="I5" s="4">
        <v>50816.855499999998</v>
      </c>
      <c r="J5" s="4">
        <v>35200</v>
      </c>
      <c r="K5" s="4">
        <v>24041.597699999998</v>
      </c>
      <c r="L5" s="4">
        <v>13691.4658</v>
      </c>
      <c r="M5" s="4">
        <v>6052.2157999999999</v>
      </c>
      <c r="N5" s="4">
        <v>20916.6348</v>
      </c>
      <c r="O5" s="4">
        <v>21055.8262</v>
      </c>
      <c r="P5" s="4">
        <v>47627.371099999997</v>
      </c>
      <c r="Q5" s="4">
        <v>12972.757799999999</v>
      </c>
      <c r="R5" s="4">
        <v>28165.877</v>
      </c>
      <c r="S5" s="4">
        <v>29842.445299999999</v>
      </c>
      <c r="T5" s="4">
        <v>7059.0370999999996</v>
      </c>
      <c r="U5" s="4">
        <v>36849.417999999998</v>
      </c>
      <c r="V5" s="4">
        <v>7548.6206000000002</v>
      </c>
      <c r="W5" s="4">
        <v>101713.55469999999</v>
      </c>
      <c r="X5" s="4">
        <v>8835</v>
      </c>
      <c r="Y5" s="4">
        <v>36893.171900000001</v>
      </c>
      <c r="Z5" s="4">
        <v>31079.6777</v>
      </c>
      <c r="AA5" s="4">
        <v>7008.4116000000004</v>
      </c>
      <c r="AB5" s="4">
        <v>23312.002</v>
      </c>
      <c r="AC5" s="4">
        <v>9615.5653999999995</v>
      </c>
      <c r="AD5" s="4">
        <v>7713.7075000000004</v>
      </c>
      <c r="AE5" s="4">
        <v>309212.40629999997</v>
      </c>
      <c r="AF5" s="4">
        <v>415136.3125</v>
      </c>
      <c r="AG5" s="4">
        <v>44587.5</v>
      </c>
      <c r="AH5" s="4">
        <v>108000</v>
      </c>
      <c r="AI5" s="4">
        <v>25887.5</v>
      </c>
      <c r="AJ5" s="4">
        <v>119178.46090000001</v>
      </c>
      <c r="AK5" s="4">
        <v>14880</v>
      </c>
      <c r="AL5" s="4">
        <v>5391.3867</v>
      </c>
      <c r="AM5" s="4">
        <v>12826.699199999999</v>
      </c>
      <c r="AN5" s="4">
        <v>38760.531300000002</v>
      </c>
      <c r="AO5" s="4">
        <v>9362.5</v>
      </c>
      <c r="AP5" s="4">
        <v>15808.7598</v>
      </c>
      <c r="AQ5" s="4">
        <v>9065.3397999999997</v>
      </c>
      <c r="AR5" s="4">
        <v>8303.5282999999999</v>
      </c>
      <c r="AS5" s="4">
        <v>22845.208999999999</v>
      </c>
      <c r="AT5" s="4">
        <v>2342146.5</v>
      </c>
      <c r="AU5" s="295"/>
      <c r="AV5" s="295"/>
      <c r="AW5" s="295"/>
      <c r="AX5" s="295"/>
      <c r="AY5" s="295"/>
      <c r="AZ5" s="295"/>
      <c r="BA5" s="295"/>
      <c r="BB5" s="295"/>
    </row>
    <row r="6" spans="1:54" s="291" customFormat="1">
      <c r="A6" s="283">
        <v>5</v>
      </c>
      <c r="B6" s="3">
        <v>39810</v>
      </c>
      <c r="C6" s="4">
        <v>235458.29689999999</v>
      </c>
      <c r="D6" s="4">
        <v>25857.117200000001</v>
      </c>
      <c r="E6" s="4">
        <v>131710.1563</v>
      </c>
      <c r="F6" s="4">
        <v>21860.976600000002</v>
      </c>
      <c r="G6" s="4">
        <v>13320.999</v>
      </c>
      <c r="H6" s="4">
        <v>56489.539100000002</v>
      </c>
      <c r="I6" s="4">
        <v>61958.519500000002</v>
      </c>
      <c r="J6" s="4">
        <v>39600</v>
      </c>
      <c r="K6" s="4">
        <v>30653.037100000001</v>
      </c>
      <c r="L6" s="4">
        <v>15439.3135</v>
      </c>
      <c r="M6" s="4">
        <v>6564.6415999999999</v>
      </c>
      <c r="N6" s="4">
        <v>31157.0684</v>
      </c>
      <c r="O6" s="4">
        <v>23913.402300000002</v>
      </c>
      <c r="P6" s="4">
        <v>55265.722699999998</v>
      </c>
      <c r="Q6" s="4">
        <v>15218.043900000001</v>
      </c>
      <c r="R6" s="4">
        <v>36062.851600000002</v>
      </c>
      <c r="S6" s="4">
        <v>32914.464800000002</v>
      </c>
      <c r="T6" s="4">
        <v>8304.75</v>
      </c>
      <c r="U6" s="4">
        <v>42564.035199999998</v>
      </c>
      <c r="V6" s="4">
        <v>9393.8389000000006</v>
      </c>
      <c r="W6" s="4">
        <v>107696.71090000001</v>
      </c>
      <c r="X6" s="4">
        <v>9145</v>
      </c>
      <c r="Y6" s="4">
        <v>42483.046900000001</v>
      </c>
      <c r="Z6" s="4">
        <v>37696.640599999999</v>
      </c>
      <c r="AA6" s="4">
        <v>8794.8701000000001</v>
      </c>
      <c r="AB6" s="4">
        <v>28552.6855</v>
      </c>
      <c r="AC6" s="4">
        <v>11330.7744</v>
      </c>
      <c r="AD6" s="4">
        <v>9598.3065999999999</v>
      </c>
      <c r="AE6" s="4">
        <v>353858.03129999997</v>
      </c>
      <c r="AF6" s="4">
        <v>494209.90629999997</v>
      </c>
      <c r="AG6" s="4">
        <v>61987.5</v>
      </c>
      <c r="AH6" s="4">
        <v>123600</v>
      </c>
      <c r="AI6" s="4">
        <v>31825</v>
      </c>
      <c r="AJ6" s="4">
        <v>119799.17969999999</v>
      </c>
      <c r="AK6" s="4">
        <v>16200</v>
      </c>
      <c r="AL6" s="4">
        <v>11027.8369</v>
      </c>
      <c r="AM6" s="4">
        <v>13166.478499999999</v>
      </c>
      <c r="AN6" s="4">
        <v>48144.660199999998</v>
      </c>
      <c r="AO6" s="4">
        <v>10762.5</v>
      </c>
      <c r="AP6" s="4">
        <v>17045.199199999999</v>
      </c>
      <c r="AQ6" s="4">
        <v>9398.6239999999998</v>
      </c>
      <c r="AR6" s="4">
        <v>10813.897499999999</v>
      </c>
      <c r="AS6" s="4">
        <v>24506.675800000001</v>
      </c>
      <c r="AT6" s="4">
        <v>2648651.5</v>
      </c>
      <c r="AU6" s="295"/>
      <c r="AV6" s="295"/>
      <c r="AW6" s="295"/>
      <c r="AX6" s="295"/>
      <c r="AY6" s="295"/>
      <c r="AZ6" s="295"/>
      <c r="BA6" s="295"/>
      <c r="BB6" s="295"/>
    </row>
    <row r="7" spans="1:54" s="291" customFormat="1">
      <c r="A7" s="283">
        <v>6</v>
      </c>
      <c r="B7" s="3">
        <v>39841</v>
      </c>
      <c r="C7" s="4">
        <v>222130.4688</v>
      </c>
      <c r="D7" s="4">
        <v>26142.830099999999</v>
      </c>
      <c r="E7" s="4">
        <v>138391.10939999999</v>
      </c>
      <c r="F7" s="4">
        <v>20646.478500000001</v>
      </c>
      <c r="G7" s="4">
        <v>12474.001</v>
      </c>
      <c r="H7" s="4">
        <v>53756.175799999997</v>
      </c>
      <c r="I7" s="4">
        <v>60871.531300000002</v>
      </c>
      <c r="J7" s="4">
        <v>37800</v>
      </c>
      <c r="K7" s="4">
        <v>30051.9961</v>
      </c>
      <c r="L7" s="4">
        <v>16021.9287</v>
      </c>
      <c r="M7" s="4">
        <v>6092.9306999999999</v>
      </c>
      <c r="N7" s="4">
        <v>28542.4902</v>
      </c>
      <c r="O7" s="4">
        <v>24815.794900000001</v>
      </c>
      <c r="P7" s="4">
        <v>50323.257799999999</v>
      </c>
      <c r="Q7" s="4">
        <v>11912.4854</v>
      </c>
      <c r="R7" s="4">
        <v>36589.316400000003</v>
      </c>
      <c r="S7" s="4">
        <v>33645.894500000002</v>
      </c>
      <c r="T7" s="4">
        <v>9135.2245999999996</v>
      </c>
      <c r="U7" s="4">
        <v>38031.75</v>
      </c>
      <c r="V7" s="4">
        <v>10819.6895</v>
      </c>
      <c r="W7" s="4">
        <v>107696.71090000001</v>
      </c>
      <c r="X7" s="4">
        <v>9377.5</v>
      </c>
      <c r="Y7" s="4">
        <v>44495.402300000002</v>
      </c>
      <c r="Z7" s="4">
        <v>32283.257799999999</v>
      </c>
      <c r="AA7" s="4">
        <v>8382.6103999999996</v>
      </c>
      <c r="AB7" s="4">
        <v>26022.7012</v>
      </c>
      <c r="AC7" s="4">
        <v>11018.918900000001</v>
      </c>
      <c r="AD7" s="4">
        <v>9379.1679999999997</v>
      </c>
      <c r="AE7" s="4">
        <v>327401.34379999997</v>
      </c>
      <c r="AF7" s="4">
        <v>451849.0625</v>
      </c>
      <c r="AG7" s="4">
        <v>57637.5</v>
      </c>
      <c r="AH7" s="4">
        <v>120000</v>
      </c>
      <c r="AI7" s="4">
        <v>30637.5</v>
      </c>
      <c r="AJ7" s="4">
        <v>129308.07030000001</v>
      </c>
      <c r="AK7" s="4">
        <v>16800</v>
      </c>
      <c r="AL7" s="4">
        <v>7760.3290999999999</v>
      </c>
      <c r="AM7" s="4">
        <v>11892.3037</v>
      </c>
      <c r="AN7" s="4">
        <v>49980.683599999997</v>
      </c>
      <c r="AO7" s="4">
        <v>11375</v>
      </c>
      <c r="AP7" s="4">
        <v>17221.833999999999</v>
      </c>
      <c r="AQ7" s="4">
        <v>9931.8788999999997</v>
      </c>
      <c r="AR7" s="4">
        <v>11264.477500000001</v>
      </c>
      <c r="AS7" s="4">
        <v>23260.5762</v>
      </c>
      <c r="AT7" s="4">
        <v>2589690.5</v>
      </c>
      <c r="AU7" s="295"/>
      <c r="AV7" s="295"/>
      <c r="AW7" s="295"/>
      <c r="AX7" s="295"/>
      <c r="AY7" s="295"/>
      <c r="AZ7" s="295"/>
      <c r="BA7" s="295"/>
      <c r="BB7" s="295"/>
    </row>
    <row r="8" spans="1:54" s="291" customFormat="1">
      <c r="A8" s="283">
        <v>7</v>
      </c>
      <c r="B8" s="3">
        <v>39872</v>
      </c>
      <c r="C8" s="4">
        <v>238420.0313</v>
      </c>
      <c r="D8" s="4">
        <v>22999.976600000002</v>
      </c>
      <c r="E8" s="4">
        <v>142208.79689999999</v>
      </c>
      <c r="F8" s="4">
        <v>20767.9277</v>
      </c>
      <c r="G8" s="4">
        <v>12166</v>
      </c>
      <c r="H8" s="4">
        <v>53756.175799999997</v>
      </c>
      <c r="I8" s="4">
        <v>57610.554700000001</v>
      </c>
      <c r="J8" s="4">
        <v>38600</v>
      </c>
      <c r="K8" s="4">
        <v>31053.730500000001</v>
      </c>
      <c r="L8" s="4">
        <v>15439.3135</v>
      </c>
      <c r="M8" s="4">
        <v>4795.7260999999999</v>
      </c>
      <c r="N8" s="4">
        <v>27017.3184</v>
      </c>
      <c r="O8" s="4">
        <v>25417.390599999999</v>
      </c>
      <c r="P8" s="4">
        <v>54367.093800000002</v>
      </c>
      <c r="Q8" s="4">
        <v>13222.2354</v>
      </c>
      <c r="R8" s="4">
        <v>37379.015599999999</v>
      </c>
      <c r="S8" s="4">
        <v>30427.591799999998</v>
      </c>
      <c r="T8" s="4">
        <v>9384.3672000000006</v>
      </c>
      <c r="U8" s="4">
        <v>36849.417999999998</v>
      </c>
      <c r="V8" s="4">
        <v>9729.3330000000005</v>
      </c>
      <c r="W8" s="4">
        <v>106500.0781</v>
      </c>
      <c r="X8" s="4">
        <v>9687.5</v>
      </c>
      <c r="Y8" s="4">
        <v>46284.160199999998</v>
      </c>
      <c r="Z8" s="4">
        <v>27069.8125</v>
      </c>
      <c r="AA8" s="4">
        <v>9138.4199000000008</v>
      </c>
      <c r="AB8" s="4">
        <v>25671.414100000002</v>
      </c>
      <c r="AC8" s="4">
        <v>11018.918900000001</v>
      </c>
      <c r="AD8" s="4">
        <v>7929.5962</v>
      </c>
      <c r="AE8" s="4">
        <v>294352.71879999997</v>
      </c>
      <c r="AF8" s="4">
        <v>440552.84379999997</v>
      </c>
      <c r="AG8" s="4">
        <v>55100</v>
      </c>
      <c r="AH8" s="4">
        <v>120000</v>
      </c>
      <c r="AI8" s="4">
        <v>31825</v>
      </c>
      <c r="AJ8" s="4">
        <v>139254.8438</v>
      </c>
      <c r="AK8" s="4">
        <v>16680</v>
      </c>
      <c r="AL8" s="4">
        <v>6698.3891999999996</v>
      </c>
      <c r="AM8" s="4">
        <v>12996.588900000001</v>
      </c>
      <c r="AN8" s="4">
        <v>48960.667999999998</v>
      </c>
      <c r="AO8" s="4">
        <v>10937.5</v>
      </c>
      <c r="AP8" s="4">
        <v>17045.199199999999</v>
      </c>
      <c r="AQ8" s="4">
        <v>10731.762699999999</v>
      </c>
      <c r="AR8" s="4">
        <v>9700.3241999999991</v>
      </c>
      <c r="AS8" s="4">
        <v>20353.0039</v>
      </c>
      <c r="AT8" s="4">
        <v>2561465.75</v>
      </c>
      <c r="AU8" s="295"/>
      <c r="AV8" s="295"/>
      <c r="AW8" s="295"/>
      <c r="AX8" s="295"/>
      <c r="AY8" s="295"/>
      <c r="AZ8" s="295"/>
      <c r="BA8" s="295"/>
      <c r="BB8" s="295"/>
    </row>
    <row r="9" spans="1:54" s="291" customFormat="1">
      <c r="A9" s="283">
        <v>8</v>
      </c>
      <c r="B9" s="3">
        <v>39900</v>
      </c>
      <c r="C9" s="4">
        <v>245084.70310000001</v>
      </c>
      <c r="D9" s="4">
        <v>22857.1191</v>
      </c>
      <c r="E9" s="4">
        <v>142208.79689999999</v>
      </c>
      <c r="F9" s="4">
        <v>20646.478500000001</v>
      </c>
      <c r="G9" s="4">
        <v>12320</v>
      </c>
      <c r="H9" s="4">
        <v>53148.757799999999</v>
      </c>
      <c r="I9" s="4">
        <v>58425.800799999997</v>
      </c>
      <c r="J9" s="4">
        <v>37200</v>
      </c>
      <c r="K9" s="4">
        <v>33257.542999999998</v>
      </c>
      <c r="L9" s="4">
        <v>13036.022499999999</v>
      </c>
      <c r="M9" s="4">
        <v>5071.6841000000004</v>
      </c>
      <c r="N9" s="4">
        <v>27235.199199999999</v>
      </c>
      <c r="O9" s="4">
        <v>24364.599600000001</v>
      </c>
      <c r="P9" s="4">
        <v>56613.667999999998</v>
      </c>
      <c r="Q9" s="4">
        <v>11475.901400000001</v>
      </c>
      <c r="R9" s="4">
        <v>34878.308599999997</v>
      </c>
      <c r="S9" s="4">
        <v>30720.166000000001</v>
      </c>
      <c r="T9" s="4">
        <v>8387.7978999999996</v>
      </c>
      <c r="U9" s="4">
        <v>37243.531300000002</v>
      </c>
      <c r="V9" s="4">
        <v>8387.3564000000006</v>
      </c>
      <c r="W9" s="4">
        <v>107098.39840000001</v>
      </c>
      <c r="X9" s="4">
        <v>10075</v>
      </c>
      <c r="Y9" s="4">
        <v>50756.0625</v>
      </c>
      <c r="Z9" s="4">
        <v>29877.2461</v>
      </c>
      <c r="AA9" s="4">
        <v>8176.48</v>
      </c>
      <c r="AB9" s="4">
        <v>23329.175800000001</v>
      </c>
      <c r="AC9" s="4">
        <v>10707.0625</v>
      </c>
      <c r="AD9" s="4">
        <v>8786.2567999999992</v>
      </c>
      <c r="AE9" s="4">
        <v>321638.21879999997</v>
      </c>
      <c r="AF9" s="4">
        <v>430668.625</v>
      </c>
      <c r="AG9" s="4">
        <v>55825</v>
      </c>
      <c r="AH9" s="4">
        <v>118200</v>
      </c>
      <c r="AI9" s="4">
        <v>29687.5</v>
      </c>
      <c r="AJ9" s="4">
        <v>135524.79689999999</v>
      </c>
      <c r="AK9" s="4">
        <v>16080</v>
      </c>
      <c r="AL9" s="4">
        <v>6780.0766999999996</v>
      </c>
      <c r="AM9" s="4">
        <v>16224.5</v>
      </c>
      <c r="AN9" s="4">
        <v>52020.707000000002</v>
      </c>
      <c r="AO9" s="4">
        <v>11200</v>
      </c>
      <c r="AP9" s="4">
        <v>18016.6875</v>
      </c>
      <c r="AQ9" s="4">
        <v>12798.127</v>
      </c>
      <c r="AR9" s="4">
        <v>8921.4668000000001</v>
      </c>
      <c r="AS9" s="4">
        <v>18276.166000000001</v>
      </c>
      <c r="AT9" s="4">
        <v>2566740.75</v>
      </c>
      <c r="AU9" s="295"/>
      <c r="AV9" s="295"/>
      <c r="AW9" s="295"/>
      <c r="AX9" s="295"/>
      <c r="AY9" s="295"/>
      <c r="AZ9" s="295"/>
      <c r="BA9" s="295"/>
      <c r="BB9" s="295"/>
    </row>
    <row r="10" spans="1:54" s="291" customFormat="1">
      <c r="A10" s="283">
        <v>9</v>
      </c>
      <c r="B10" s="3">
        <v>39931</v>
      </c>
      <c r="C10" s="4">
        <v>235501.79689999999</v>
      </c>
      <c r="D10" s="4">
        <v>26714.2598</v>
      </c>
      <c r="E10" s="4">
        <v>162251.64060000001</v>
      </c>
      <c r="F10" s="4">
        <v>24047.074199999999</v>
      </c>
      <c r="G10" s="4">
        <v>11935</v>
      </c>
      <c r="H10" s="4">
        <v>69245.234400000001</v>
      </c>
      <c r="I10" s="4">
        <v>77176.406300000002</v>
      </c>
      <c r="J10" s="4">
        <v>39600</v>
      </c>
      <c r="K10" s="4">
        <v>33457.890599999999</v>
      </c>
      <c r="L10" s="4">
        <v>17114.331999999999</v>
      </c>
      <c r="M10" s="4">
        <v>8570.7538999999997</v>
      </c>
      <c r="N10" s="4">
        <v>31157.0684</v>
      </c>
      <c r="O10" s="4">
        <v>24966.1934</v>
      </c>
      <c r="P10" s="4">
        <v>56164.351600000002</v>
      </c>
      <c r="Q10" s="4">
        <v>14843.829100000001</v>
      </c>
      <c r="R10" s="4">
        <v>35931.238299999997</v>
      </c>
      <c r="S10" s="4">
        <v>34669.902300000002</v>
      </c>
      <c r="T10" s="4">
        <v>10048.748</v>
      </c>
      <c r="U10" s="4">
        <v>55963.820299999999</v>
      </c>
      <c r="V10" s="4">
        <v>10568.069299999999</v>
      </c>
      <c r="W10" s="4">
        <v>125646.16409999999</v>
      </c>
      <c r="X10" s="4">
        <v>12090</v>
      </c>
      <c r="Y10" s="4">
        <v>59252.671900000001</v>
      </c>
      <c r="Z10" s="4">
        <v>38499.539100000002</v>
      </c>
      <c r="AA10" s="4">
        <v>9756.8086000000003</v>
      </c>
      <c r="AB10" s="4">
        <v>23150.132799999999</v>
      </c>
      <c r="AC10" s="4">
        <v>13201.9121</v>
      </c>
      <c r="AD10" s="4">
        <v>12520.415000000001</v>
      </c>
      <c r="AE10" s="4">
        <v>342309.0625</v>
      </c>
      <c r="AF10" s="4">
        <v>535158.75</v>
      </c>
      <c r="AG10" s="4">
        <v>55100</v>
      </c>
      <c r="AH10" s="4">
        <v>145200</v>
      </c>
      <c r="AI10" s="4">
        <v>34081.25</v>
      </c>
      <c r="AJ10" s="4">
        <v>156703.60939999999</v>
      </c>
      <c r="AK10" s="4">
        <v>16500</v>
      </c>
      <c r="AL10" s="4">
        <v>8822.2695000000003</v>
      </c>
      <c r="AM10" s="4">
        <v>20386.8066</v>
      </c>
      <c r="AN10" s="4">
        <v>65790.898400000005</v>
      </c>
      <c r="AO10" s="4">
        <v>14787.5</v>
      </c>
      <c r="AP10" s="4">
        <v>19429.761699999999</v>
      </c>
      <c r="AQ10" s="4">
        <v>14931.147499999999</v>
      </c>
      <c r="AR10" s="4">
        <v>11612.0664</v>
      </c>
      <c r="AS10" s="4">
        <v>23260.5762</v>
      </c>
      <c r="AT10" s="4">
        <v>2972127.5</v>
      </c>
      <c r="AU10" s="295"/>
      <c r="AV10" s="295"/>
      <c r="AW10" s="295"/>
      <c r="AX10" s="295"/>
      <c r="AY10" s="295"/>
      <c r="AZ10" s="295"/>
      <c r="BA10" s="295"/>
      <c r="BB10" s="295"/>
    </row>
    <row r="11" spans="1:54" s="291" customFormat="1">
      <c r="A11" s="283">
        <v>10</v>
      </c>
      <c r="B11" s="3">
        <v>39961</v>
      </c>
      <c r="C11" s="4">
        <v>239949.42189999999</v>
      </c>
      <c r="D11" s="4">
        <v>31428.539100000002</v>
      </c>
      <c r="E11" s="4">
        <v>167978.17189999999</v>
      </c>
      <c r="F11" s="4">
        <v>24897.224600000001</v>
      </c>
      <c r="G11" s="4">
        <v>12089</v>
      </c>
      <c r="H11" s="4">
        <v>71067.484400000001</v>
      </c>
      <c r="I11" s="4">
        <v>86415.820300000007</v>
      </c>
      <c r="J11" s="4">
        <v>38800</v>
      </c>
      <c r="K11" s="4">
        <v>31855.117200000001</v>
      </c>
      <c r="L11" s="4">
        <v>20028.373</v>
      </c>
      <c r="M11" s="4">
        <v>9694.6602000000003</v>
      </c>
      <c r="N11" s="4">
        <v>36168.347699999998</v>
      </c>
      <c r="O11" s="4">
        <v>31884.535199999998</v>
      </c>
      <c r="P11" s="4">
        <v>65150.644500000002</v>
      </c>
      <c r="Q11" s="4">
        <v>18211.757799999999</v>
      </c>
      <c r="R11" s="4">
        <v>36720.933599999997</v>
      </c>
      <c r="S11" s="4">
        <v>39131.640599999999</v>
      </c>
      <c r="T11" s="4">
        <v>13287.5996</v>
      </c>
      <c r="U11" s="4">
        <v>72910.609400000001</v>
      </c>
      <c r="V11" s="4">
        <v>12245.540999999999</v>
      </c>
      <c r="W11" s="4">
        <v>134022.57810000001</v>
      </c>
      <c r="X11" s="4">
        <v>13562.5</v>
      </c>
      <c r="Y11" s="4">
        <v>81053.179699999993</v>
      </c>
      <c r="Z11" s="4">
        <v>51132.199200000003</v>
      </c>
      <c r="AA11" s="4">
        <v>12230.3652</v>
      </c>
      <c r="AB11" s="4">
        <v>2730.5949999999998</v>
      </c>
      <c r="AC11" s="4">
        <v>17775.8027</v>
      </c>
      <c r="AD11" s="4">
        <v>16803.714800000002</v>
      </c>
      <c r="AE11" s="4">
        <v>431636.25</v>
      </c>
      <c r="AF11" s="4">
        <v>621292.4375</v>
      </c>
      <c r="AG11" s="4">
        <v>54375</v>
      </c>
      <c r="AH11" s="4">
        <v>157200</v>
      </c>
      <c r="AI11" s="4">
        <v>38356.25</v>
      </c>
      <c r="AJ11" s="4">
        <v>174909.8438</v>
      </c>
      <c r="AK11" s="4">
        <v>17280</v>
      </c>
      <c r="AL11" s="4">
        <v>11844.713900000001</v>
      </c>
      <c r="AM11" s="4">
        <v>25313.623</v>
      </c>
      <c r="AN11" s="4">
        <v>83131.132800000007</v>
      </c>
      <c r="AO11" s="4">
        <v>15662.5</v>
      </c>
      <c r="AP11" s="4">
        <v>20754.517599999999</v>
      </c>
      <c r="AQ11" s="4">
        <v>17197.482400000001</v>
      </c>
      <c r="AR11" s="4">
        <v>15576.0967</v>
      </c>
      <c r="AS11" s="4">
        <v>30737.1895</v>
      </c>
      <c r="AT11" s="4">
        <v>3407526.25</v>
      </c>
      <c r="AU11" s="295"/>
      <c r="AV11" s="295"/>
      <c r="AW11" s="295"/>
      <c r="AX11" s="295"/>
      <c r="AY11" s="295"/>
      <c r="AZ11" s="295"/>
      <c r="BA11" s="295"/>
      <c r="BB11" s="295"/>
    </row>
    <row r="12" spans="1:54" s="291" customFormat="1">
      <c r="A12" s="283">
        <v>11</v>
      </c>
      <c r="B12" s="3">
        <v>39992</v>
      </c>
      <c r="C12" s="4">
        <v>268102.78129999997</v>
      </c>
      <c r="D12" s="4">
        <v>38214.246099999997</v>
      </c>
      <c r="E12" s="4">
        <v>206155.0313</v>
      </c>
      <c r="F12" s="4">
        <v>27569.1211</v>
      </c>
      <c r="G12" s="4">
        <v>12859.001</v>
      </c>
      <c r="H12" s="4">
        <v>88075.085900000005</v>
      </c>
      <c r="I12" s="4">
        <v>91035.531300000002</v>
      </c>
      <c r="J12" s="4">
        <v>41800</v>
      </c>
      <c r="K12" s="4">
        <v>34659.968800000002</v>
      </c>
      <c r="L12" s="4">
        <v>18935.916000000001</v>
      </c>
      <c r="M12" s="4">
        <v>8591.2734</v>
      </c>
      <c r="N12" s="4">
        <v>42704.792999999998</v>
      </c>
      <c r="O12" s="4">
        <v>35945.304700000001</v>
      </c>
      <c r="P12" s="4">
        <v>76832.835900000005</v>
      </c>
      <c r="Q12" s="4">
        <v>15966.4727</v>
      </c>
      <c r="R12" s="4">
        <v>39221.640599999999</v>
      </c>
      <c r="S12" s="4">
        <v>49737.410199999998</v>
      </c>
      <c r="T12" s="4">
        <v>13453.695299999999</v>
      </c>
      <c r="U12" s="4">
        <v>63846.046900000001</v>
      </c>
      <c r="V12" s="4">
        <v>11742.2988</v>
      </c>
      <c r="W12" s="4">
        <v>158553.48439999999</v>
      </c>
      <c r="X12" s="4">
        <v>15267.501</v>
      </c>
      <c r="Y12" s="4">
        <v>97822.804699999993</v>
      </c>
      <c r="Z12" s="4">
        <v>51132.199200000003</v>
      </c>
      <c r="AA12" s="4">
        <v>12436.4961</v>
      </c>
      <c r="AB12" s="4">
        <v>25763.1211</v>
      </c>
      <c r="AC12" s="4">
        <v>17256.043000000001</v>
      </c>
      <c r="AD12" s="4">
        <v>18451.136699999999</v>
      </c>
      <c r="AE12" s="4">
        <v>441558.9375</v>
      </c>
      <c r="AF12" s="4">
        <v>660972.5</v>
      </c>
      <c r="AG12" s="4">
        <v>55100</v>
      </c>
      <c r="AH12" s="4">
        <v>186000</v>
      </c>
      <c r="AI12" s="4">
        <v>39900</v>
      </c>
      <c r="AJ12" s="4">
        <v>190515.17189999999</v>
      </c>
      <c r="AK12" s="4">
        <v>17400</v>
      </c>
      <c r="AL12" s="4">
        <v>12661.5898</v>
      </c>
      <c r="AM12" s="4">
        <v>24124.392599999999</v>
      </c>
      <c r="AN12" s="4">
        <v>72420.992199999993</v>
      </c>
      <c r="AO12" s="4">
        <v>14787.5</v>
      </c>
      <c r="AP12" s="4">
        <v>20931.152300000002</v>
      </c>
      <c r="AQ12" s="4">
        <v>18263.992200000001</v>
      </c>
      <c r="AR12" s="4">
        <v>15576.0967</v>
      </c>
      <c r="AS12" s="4">
        <v>35721.597699999998</v>
      </c>
      <c r="AT12" s="4">
        <v>3685584.5</v>
      </c>
      <c r="AU12" s="295"/>
      <c r="AV12" s="295"/>
      <c r="AW12" s="295"/>
      <c r="AX12" s="295"/>
      <c r="AY12" s="295"/>
      <c r="AZ12" s="295"/>
      <c r="BA12" s="295"/>
      <c r="BB12" s="295"/>
    </row>
    <row r="13" spans="1:54" s="291" customFormat="1">
      <c r="A13" s="283">
        <v>12</v>
      </c>
      <c r="B13" s="3">
        <v>40022</v>
      </c>
      <c r="C13" s="4">
        <v>256266.10939999999</v>
      </c>
      <c r="D13" s="4">
        <v>45714.238299999997</v>
      </c>
      <c r="E13" s="4">
        <v>211881.5625</v>
      </c>
      <c r="F13" s="4">
        <v>28176.3711</v>
      </c>
      <c r="G13" s="4">
        <v>13244.001</v>
      </c>
      <c r="H13" s="4">
        <v>109942.00780000001</v>
      </c>
      <c r="I13" s="4">
        <v>101905.44530000001</v>
      </c>
      <c r="J13" s="4">
        <v>39600</v>
      </c>
      <c r="K13" s="4">
        <v>38466.554700000001</v>
      </c>
      <c r="L13" s="4">
        <v>18753.839800000002</v>
      </c>
      <c r="M13" s="4">
        <v>11665.2148</v>
      </c>
      <c r="N13" s="4">
        <v>40308.097699999998</v>
      </c>
      <c r="O13" s="4">
        <v>39479.671900000001</v>
      </c>
      <c r="P13" s="4">
        <v>75035.578099999999</v>
      </c>
      <c r="Q13" s="4">
        <v>19459.1387</v>
      </c>
      <c r="R13" s="4">
        <v>38958.410199999998</v>
      </c>
      <c r="S13" s="4">
        <v>43520.234400000001</v>
      </c>
      <c r="T13" s="4">
        <v>15695.9766</v>
      </c>
      <c r="U13" s="4">
        <v>67439.078099999999</v>
      </c>
      <c r="V13" s="4">
        <v>11322.9316</v>
      </c>
      <c r="W13" s="4">
        <v>173511.35939999999</v>
      </c>
      <c r="X13" s="4">
        <v>16430</v>
      </c>
      <c r="Y13" s="4">
        <v>93909.890599999999</v>
      </c>
      <c r="Z13" s="4">
        <v>51633.496099999997</v>
      </c>
      <c r="AA13" s="4">
        <v>12917.4648</v>
      </c>
      <c r="AB13" s="4">
        <v>27387.4395</v>
      </c>
      <c r="AC13" s="4">
        <v>16840.234400000001</v>
      </c>
      <c r="AD13" s="4">
        <v>21087.015599999999</v>
      </c>
      <c r="AE13" s="4">
        <v>456442.9375</v>
      </c>
      <c r="AF13" s="4">
        <v>675106.5625</v>
      </c>
      <c r="AG13" s="4">
        <v>55825</v>
      </c>
      <c r="AH13" s="4">
        <v>220800</v>
      </c>
      <c r="AI13" s="4">
        <v>43462.5</v>
      </c>
      <c r="AJ13" s="4">
        <v>261953.5625</v>
      </c>
      <c r="AK13" s="4">
        <v>17220</v>
      </c>
      <c r="AL13" s="4">
        <v>14295.343800000001</v>
      </c>
      <c r="AM13" s="4">
        <v>23105.0527</v>
      </c>
      <c r="AN13" s="4">
        <v>76501.046900000001</v>
      </c>
      <c r="AO13" s="4">
        <v>16275</v>
      </c>
      <c r="AP13" s="4">
        <v>22962.445299999999</v>
      </c>
      <c r="AQ13" s="4">
        <v>18397.3066</v>
      </c>
      <c r="AR13" s="4">
        <v>16000.9004</v>
      </c>
      <c r="AS13" s="4">
        <v>33644.761700000003</v>
      </c>
      <c r="AT13" s="4">
        <v>3905743.25</v>
      </c>
      <c r="AU13" s="295"/>
      <c r="AV13" s="295"/>
      <c r="AW13" s="295"/>
      <c r="AX13" s="295"/>
      <c r="AY13" s="295"/>
      <c r="AZ13" s="295"/>
      <c r="BA13" s="295"/>
      <c r="BB13" s="295"/>
    </row>
    <row r="14" spans="1:54" s="291" customFormat="1">
      <c r="A14" s="283">
        <v>13</v>
      </c>
      <c r="B14" s="3">
        <v>40053</v>
      </c>
      <c r="C14" s="4">
        <v>255583.875</v>
      </c>
      <c r="D14" s="4">
        <v>52142.804700000001</v>
      </c>
      <c r="E14" s="4">
        <v>209972.7188</v>
      </c>
      <c r="F14" s="4">
        <v>30119.5684</v>
      </c>
      <c r="G14" s="4">
        <v>14168</v>
      </c>
      <c r="H14" s="4">
        <v>108119.75780000001</v>
      </c>
      <c r="I14" s="4">
        <v>108427.3906</v>
      </c>
      <c r="J14" s="4">
        <v>37400</v>
      </c>
      <c r="K14" s="4">
        <v>36663.4375</v>
      </c>
      <c r="L14" s="4">
        <v>19300.0684</v>
      </c>
      <c r="M14" s="4">
        <v>13478.051799999999</v>
      </c>
      <c r="N14" s="4">
        <v>45537.253900000003</v>
      </c>
      <c r="O14" s="4">
        <v>45119.628900000003</v>
      </c>
      <c r="P14" s="4">
        <v>75934.203099999999</v>
      </c>
      <c r="Q14" s="4">
        <v>21829.160199999998</v>
      </c>
      <c r="R14" s="4">
        <v>41327.503900000003</v>
      </c>
      <c r="S14" s="4">
        <v>44983.101600000002</v>
      </c>
      <c r="T14" s="4">
        <v>16443.404299999998</v>
      </c>
      <c r="U14" s="4">
        <v>75721.070300000007</v>
      </c>
      <c r="V14" s="4">
        <v>11910.045899999999</v>
      </c>
      <c r="W14" s="4">
        <v>173511.35939999999</v>
      </c>
      <c r="X14" s="4">
        <v>22165</v>
      </c>
      <c r="Y14" s="4">
        <v>96145.843800000002</v>
      </c>
      <c r="Z14" s="4">
        <v>60155.527300000002</v>
      </c>
      <c r="AA14" s="4">
        <v>13604.5635</v>
      </c>
      <c r="AB14" s="4">
        <v>34358.085899999998</v>
      </c>
      <c r="AC14" s="4">
        <v>17256.043000000001</v>
      </c>
      <c r="AD14" s="4">
        <v>21796.339800000002</v>
      </c>
      <c r="AE14" s="4">
        <v>458584.5625</v>
      </c>
      <c r="AF14" s="4">
        <v>689230.125</v>
      </c>
      <c r="AG14" s="4">
        <v>54737.5</v>
      </c>
      <c r="AH14" s="4">
        <v>232800</v>
      </c>
      <c r="AI14" s="4">
        <v>49875</v>
      </c>
      <c r="AJ14" s="4">
        <v>261105.8125</v>
      </c>
      <c r="AK14" s="4">
        <v>16860</v>
      </c>
      <c r="AL14" s="4">
        <v>14458.718800000001</v>
      </c>
      <c r="AM14" s="4">
        <v>33128.570299999999</v>
      </c>
      <c r="AN14" s="4">
        <v>82621.125</v>
      </c>
      <c r="AO14" s="4">
        <v>15750</v>
      </c>
      <c r="AP14" s="4">
        <v>22962.445299999999</v>
      </c>
      <c r="AQ14" s="4">
        <v>19597.1309</v>
      </c>
      <c r="AR14" s="4">
        <v>16354.9023</v>
      </c>
      <c r="AS14" s="4">
        <v>44028.945299999999</v>
      </c>
      <c r="AT14" s="4">
        <v>4057038.75</v>
      </c>
      <c r="AU14" s="295"/>
      <c r="AV14" s="295"/>
      <c r="AW14" s="295"/>
      <c r="AX14" s="295"/>
      <c r="AY14" s="295"/>
      <c r="AZ14" s="295"/>
      <c r="BA14" s="295"/>
      <c r="BB14" s="295"/>
    </row>
    <row r="15" spans="1:54" s="291" customFormat="1">
      <c r="A15" s="283">
        <v>14</v>
      </c>
      <c r="B15" s="3">
        <v>40084</v>
      </c>
      <c r="C15" s="4">
        <v>279299.59379999997</v>
      </c>
      <c r="D15" s="4">
        <v>60357.082000000002</v>
      </c>
      <c r="E15" s="4">
        <v>230969.98439999999</v>
      </c>
      <c r="F15" s="4">
        <v>31273.341799999998</v>
      </c>
      <c r="G15" s="4">
        <v>14245</v>
      </c>
      <c r="H15" s="4">
        <v>116623.5625</v>
      </c>
      <c r="I15" s="4">
        <v>116851.5781</v>
      </c>
      <c r="J15" s="4">
        <v>45200</v>
      </c>
      <c r="K15" s="4">
        <v>35060.664100000002</v>
      </c>
      <c r="L15" s="4">
        <v>21120.830099999999</v>
      </c>
      <c r="M15" s="4">
        <v>13714.5088</v>
      </c>
      <c r="N15" s="4">
        <v>50766.410199999998</v>
      </c>
      <c r="O15" s="4">
        <v>59783.503900000003</v>
      </c>
      <c r="P15" s="4">
        <v>90312.273400000005</v>
      </c>
      <c r="Q15" s="4">
        <v>22078.6387</v>
      </c>
      <c r="R15" s="4">
        <v>40406.1875</v>
      </c>
      <c r="S15" s="4">
        <v>47908.828099999999</v>
      </c>
      <c r="T15" s="4">
        <v>15862.0723</v>
      </c>
      <c r="U15" s="4">
        <v>85580.585900000005</v>
      </c>
      <c r="V15" s="4">
        <v>15516.609399999999</v>
      </c>
      <c r="W15" s="4">
        <v>197443.9688</v>
      </c>
      <c r="X15" s="4">
        <v>21545</v>
      </c>
      <c r="Y15" s="4">
        <v>101176.7344</v>
      </c>
      <c r="Z15" s="4">
        <v>67173.671900000001</v>
      </c>
      <c r="AA15" s="4">
        <v>16490.3809</v>
      </c>
      <c r="AB15" s="4">
        <v>40229.476600000002</v>
      </c>
      <c r="AC15" s="4">
        <v>18607.418000000001</v>
      </c>
      <c r="AD15" s="4">
        <v>25759.3125</v>
      </c>
      <c r="AE15" s="4">
        <v>478451.03129999997</v>
      </c>
      <c r="AF15" s="4">
        <v>741604.1875</v>
      </c>
      <c r="AG15" s="4">
        <v>54375</v>
      </c>
      <c r="AH15" s="4">
        <v>266400</v>
      </c>
      <c r="AI15" s="4">
        <v>55812.5</v>
      </c>
      <c r="AJ15" s="4">
        <v>288233.6875</v>
      </c>
      <c r="AK15" s="4">
        <v>17760</v>
      </c>
      <c r="AL15" s="4">
        <v>16337.5352</v>
      </c>
      <c r="AM15" s="4">
        <v>37885.488299999997</v>
      </c>
      <c r="AN15" s="4">
        <v>92311.257800000007</v>
      </c>
      <c r="AO15" s="4">
        <v>16012.499</v>
      </c>
      <c r="AP15" s="4">
        <v>22741.652300000002</v>
      </c>
      <c r="AQ15" s="4">
        <v>23196.603500000001</v>
      </c>
      <c r="AR15" s="4">
        <v>18408.1152</v>
      </c>
      <c r="AS15" s="4">
        <v>49428.722699999998</v>
      </c>
      <c r="AT15" s="4">
        <v>4445465</v>
      </c>
      <c r="AU15" s="295"/>
      <c r="AV15" s="295"/>
      <c r="AW15" s="295"/>
      <c r="AX15" s="295"/>
      <c r="AY15" s="295"/>
      <c r="AZ15" s="295"/>
      <c r="BA15" s="295"/>
      <c r="BB15" s="295"/>
    </row>
    <row r="16" spans="1:54" s="291" customFormat="1">
      <c r="A16" s="283">
        <v>15</v>
      </c>
      <c r="B16" s="3">
        <v>40114</v>
      </c>
      <c r="C16" s="4">
        <v>255764.35939999999</v>
      </c>
      <c r="D16" s="4">
        <v>54999.945299999999</v>
      </c>
      <c r="E16" s="4">
        <v>213790.4063</v>
      </c>
      <c r="F16" s="4">
        <v>29390.8691</v>
      </c>
      <c r="G16" s="4">
        <v>14168</v>
      </c>
      <c r="H16" s="4">
        <v>109334.58590000001</v>
      </c>
      <c r="I16" s="4">
        <v>119025.5625</v>
      </c>
      <c r="J16" s="4">
        <v>44800</v>
      </c>
      <c r="K16" s="4">
        <v>33658.234400000001</v>
      </c>
      <c r="L16" s="4">
        <v>20392.525399999999</v>
      </c>
      <c r="M16" s="4">
        <v>13714.5088</v>
      </c>
      <c r="N16" s="4">
        <v>47280.308599999997</v>
      </c>
      <c r="O16" s="4">
        <v>72567.398400000005</v>
      </c>
      <c r="P16" s="4">
        <v>85369.8125</v>
      </c>
      <c r="Q16" s="4">
        <v>21579.6836</v>
      </c>
      <c r="R16" s="4">
        <v>39484.875</v>
      </c>
      <c r="S16" s="4">
        <v>46811.679700000001</v>
      </c>
      <c r="T16" s="4">
        <v>15446.834999999999</v>
      </c>
      <c r="U16" s="4">
        <v>76143.9375</v>
      </c>
      <c r="V16" s="4">
        <v>13335.896500000001</v>
      </c>
      <c r="W16" s="4">
        <v>186075.98439999999</v>
      </c>
      <c r="X16" s="4">
        <v>19375</v>
      </c>
      <c r="Y16" s="4">
        <v>98381.796900000001</v>
      </c>
      <c r="Z16" s="4">
        <v>56646.457000000002</v>
      </c>
      <c r="AA16" s="4">
        <v>15597.1523</v>
      </c>
      <c r="AB16" s="4">
        <v>34722.144500000002</v>
      </c>
      <c r="AC16" s="4">
        <v>19231.1309</v>
      </c>
      <c r="AD16" s="4">
        <v>34345.75</v>
      </c>
      <c r="AE16" s="4">
        <v>480106.59379999997</v>
      </c>
      <c r="AF16" s="4">
        <v>679640.0625</v>
      </c>
      <c r="AG16" s="4">
        <v>53650</v>
      </c>
      <c r="AH16" s="4">
        <v>244800</v>
      </c>
      <c r="AI16" s="4">
        <v>52487.5</v>
      </c>
      <c r="AJ16" s="4">
        <v>262034.1563</v>
      </c>
      <c r="AK16" s="4">
        <v>19140</v>
      </c>
      <c r="AL16" s="4">
        <v>17317.787100000001</v>
      </c>
      <c r="AM16" s="4">
        <v>33638.238299999997</v>
      </c>
      <c r="AN16" s="4">
        <v>84151.148400000005</v>
      </c>
      <c r="AO16" s="4">
        <v>15925.001</v>
      </c>
      <c r="AP16" s="4">
        <v>24507.9941</v>
      </c>
      <c r="AQ16" s="4">
        <v>26262.8223</v>
      </c>
      <c r="AR16" s="4">
        <v>18939.117200000001</v>
      </c>
      <c r="AS16" s="4">
        <v>45690.417999999998</v>
      </c>
      <c r="AT16" s="4">
        <v>4202216</v>
      </c>
      <c r="AU16" s="295"/>
      <c r="AV16" s="295"/>
      <c r="AW16" s="295"/>
      <c r="AX16" s="295"/>
      <c r="AY16" s="295"/>
      <c r="AZ16" s="295"/>
      <c r="BA16" s="295"/>
      <c r="BB16" s="295"/>
    </row>
    <row r="17" spans="1:54" s="291" customFormat="1">
      <c r="A17" s="283">
        <v>16</v>
      </c>
      <c r="B17" s="3">
        <v>40145</v>
      </c>
      <c r="C17" s="4">
        <v>240200.89060000001</v>
      </c>
      <c r="D17" s="4">
        <v>53214.234400000001</v>
      </c>
      <c r="E17" s="4">
        <v>215699.25</v>
      </c>
      <c r="F17" s="4">
        <v>29026.519499999999</v>
      </c>
      <c r="G17" s="4">
        <v>14938</v>
      </c>
      <c r="H17" s="4">
        <v>120875.46090000001</v>
      </c>
      <c r="I17" s="4">
        <v>144026.35939999999</v>
      </c>
      <c r="J17" s="4">
        <v>43400</v>
      </c>
      <c r="K17" s="4">
        <v>33658.234400000001</v>
      </c>
      <c r="L17" s="4">
        <v>20392.525399999999</v>
      </c>
      <c r="M17" s="4">
        <v>11507.5762</v>
      </c>
      <c r="N17" s="4">
        <v>43576.320299999999</v>
      </c>
      <c r="O17" s="4">
        <v>80463.335900000005</v>
      </c>
      <c r="P17" s="4">
        <v>93457.476599999995</v>
      </c>
      <c r="Q17" s="4">
        <v>22078.6387</v>
      </c>
      <c r="R17" s="4">
        <v>41327.503900000003</v>
      </c>
      <c r="S17" s="4">
        <v>43885.949200000003</v>
      </c>
      <c r="T17" s="4">
        <v>16111.213900000001</v>
      </c>
      <c r="U17" s="4">
        <v>73764.4375</v>
      </c>
      <c r="V17" s="4">
        <v>11490.6787</v>
      </c>
      <c r="W17" s="4">
        <v>205820.375</v>
      </c>
      <c r="X17" s="4">
        <v>20150</v>
      </c>
      <c r="Y17" s="4">
        <v>101735.7188</v>
      </c>
      <c r="Z17" s="4">
        <v>60656.828099999999</v>
      </c>
      <c r="AA17" s="4">
        <v>15597.1523</v>
      </c>
      <c r="AB17" s="4">
        <v>35048.851600000002</v>
      </c>
      <c r="AC17" s="4">
        <v>18087.658200000002</v>
      </c>
      <c r="AD17" s="4">
        <v>34786.078099999999</v>
      </c>
      <c r="AE17" s="4">
        <v>432289.15629999997</v>
      </c>
      <c r="AF17" s="4">
        <v>634330.75</v>
      </c>
      <c r="AG17" s="4">
        <v>47850</v>
      </c>
      <c r="AH17" s="4">
        <v>271200</v>
      </c>
      <c r="AI17" s="4">
        <v>54387.5</v>
      </c>
      <c r="AJ17" s="4">
        <v>287474.34379999997</v>
      </c>
      <c r="AK17" s="4">
        <v>19320</v>
      </c>
      <c r="AL17" s="4">
        <v>14295.343800000001</v>
      </c>
      <c r="AM17" s="4">
        <v>29900.658200000002</v>
      </c>
      <c r="AN17" s="4">
        <v>80581.101599999995</v>
      </c>
      <c r="AO17" s="4">
        <v>15750</v>
      </c>
      <c r="AP17" s="4">
        <v>23624.8223</v>
      </c>
      <c r="AQ17" s="4">
        <v>29195.724600000001</v>
      </c>
      <c r="AR17" s="4">
        <v>18231.113300000001</v>
      </c>
      <c r="AS17" s="4">
        <v>45690.417999999998</v>
      </c>
      <c r="AT17" s="4">
        <v>4201351.5</v>
      </c>
      <c r="AU17" s="295"/>
      <c r="AV17" s="295"/>
      <c r="AW17" s="295"/>
      <c r="AX17" s="295"/>
      <c r="AY17" s="295"/>
      <c r="AZ17" s="295"/>
      <c r="BA17" s="295"/>
      <c r="BB17" s="295"/>
    </row>
    <row r="18" spans="1:54" s="291" customFormat="1">
      <c r="A18" s="283">
        <v>17</v>
      </c>
      <c r="B18" s="3">
        <v>40175</v>
      </c>
      <c r="C18" s="4">
        <v>256510.82810000001</v>
      </c>
      <c r="D18" s="4">
        <v>55714.230499999998</v>
      </c>
      <c r="E18" s="4">
        <v>221425.7813</v>
      </c>
      <c r="F18" s="4">
        <v>30241.019499999999</v>
      </c>
      <c r="G18" s="4">
        <v>16015.999</v>
      </c>
      <c r="H18" s="4">
        <v>136668.23439999999</v>
      </c>
      <c r="I18" s="4">
        <v>156526.76560000001</v>
      </c>
      <c r="J18" s="4">
        <v>49200</v>
      </c>
      <c r="K18" s="4">
        <v>34058.929700000001</v>
      </c>
      <c r="L18" s="4">
        <v>21484.982400000001</v>
      </c>
      <c r="M18" s="4">
        <v>12217.4365</v>
      </c>
      <c r="N18" s="4">
        <v>44229.964800000002</v>
      </c>
      <c r="O18" s="4">
        <v>85727.289099999995</v>
      </c>
      <c r="P18" s="4">
        <v>111430.07030000001</v>
      </c>
      <c r="Q18" s="4">
        <v>23201.281299999999</v>
      </c>
      <c r="R18" s="4">
        <v>41722.351600000002</v>
      </c>
      <c r="S18" s="4">
        <v>48274.546900000001</v>
      </c>
      <c r="T18" s="4">
        <v>17273.8789</v>
      </c>
      <c r="U18" s="4">
        <v>86851.679699999993</v>
      </c>
      <c r="V18" s="4">
        <v>12329.4141</v>
      </c>
      <c r="W18" s="4">
        <v>203427.10939999999</v>
      </c>
      <c r="X18" s="4">
        <v>23405</v>
      </c>
      <c r="Y18" s="4">
        <v>110120.5313</v>
      </c>
      <c r="Z18" s="4">
        <v>63163.308599999997</v>
      </c>
      <c r="AA18" s="4">
        <v>16490.3809</v>
      </c>
      <c r="AB18" s="4">
        <v>36684.5</v>
      </c>
      <c r="AC18" s="4">
        <v>19542.9863</v>
      </c>
      <c r="AD18" s="4">
        <v>39281.25</v>
      </c>
      <c r="AE18" s="4">
        <v>486946.4375</v>
      </c>
      <c r="AF18" s="4">
        <v>697111.0625</v>
      </c>
      <c r="AG18" s="4">
        <v>51112.5</v>
      </c>
      <c r="AH18" s="4">
        <v>282000</v>
      </c>
      <c r="AI18" s="4">
        <v>55812.5</v>
      </c>
      <c r="AJ18" s="4">
        <v>294258.40629999997</v>
      </c>
      <c r="AK18" s="4">
        <v>21000</v>
      </c>
      <c r="AL18" s="4">
        <v>16174.1602</v>
      </c>
      <c r="AM18" s="4">
        <v>31599.5586</v>
      </c>
      <c r="AN18" s="4">
        <v>87211.195300000007</v>
      </c>
      <c r="AO18" s="4">
        <v>16100</v>
      </c>
      <c r="AP18" s="4">
        <v>26715.921900000001</v>
      </c>
      <c r="AQ18" s="4">
        <v>29462.353500000001</v>
      </c>
      <c r="AR18" s="4">
        <v>19293.1211</v>
      </c>
      <c r="AS18" s="4">
        <v>51505.5625</v>
      </c>
      <c r="AT18" s="4">
        <v>4524656</v>
      </c>
      <c r="AU18" s="295"/>
      <c r="AV18" s="295"/>
      <c r="AW18" s="295"/>
      <c r="AX18" s="295"/>
      <c r="AY18" s="295"/>
      <c r="AZ18" s="295"/>
      <c r="BA18" s="295"/>
      <c r="BB18" s="295"/>
    </row>
    <row r="19" spans="1:54" s="291" customFormat="1">
      <c r="A19" s="283">
        <v>18</v>
      </c>
      <c r="B19" s="3">
        <v>40206</v>
      </c>
      <c r="C19" s="4">
        <v>246131.7813</v>
      </c>
      <c r="D19" s="4">
        <v>55714.230499999998</v>
      </c>
      <c r="E19" s="4">
        <v>215699.25</v>
      </c>
      <c r="F19" s="4">
        <v>29026.519499999999</v>
      </c>
      <c r="G19" s="4">
        <v>15477</v>
      </c>
      <c r="H19" s="4">
        <v>118445.80469999999</v>
      </c>
      <c r="I19" s="4">
        <v>143482.875</v>
      </c>
      <c r="J19" s="4">
        <v>48000</v>
      </c>
      <c r="K19" s="4">
        <v>32856.847699999998</v>
      </c>
      <c r="L19" s="4">
        <v>20756.6777</v>
      </c>
      <c r="M19" s="4">
        <v>11980.9707</v>
      </c>
      <c r="N19" s="4">
        <v>40961.738299999997</v>
      </c>
      <c r="O19" s="4">
        <v>86479.281300000002</v>
      </c>
      <c r="P19" s="4">
        <v>103342.4063</v>
      </c>
      <c r="Q19" s="4">
        <v>21829.160199999998</v>
      </c>
      <c r="R19" s="4">
        <v>41590.734400000001</v>
      </c>
      <c r="S19" s="4">
        <v>45348.816400000003</v>
      </c>
      <c r="T19" s="4">
        <v>17439.974600000001</v>
      </c>
      <c r="U19" s="4">
        <v>86765.148400000005</v>
      </c>
      <c r="V19" s="4">
        <v>11490.6787</v>
      </c>
      <c r="W19" s="4">
        <v>197443.9688</v>
      </c>
      <c r="X19" s="4">
        <v>22320</v>
      </c>
      <c r="Y19" s="4">
        <v>107325.5938</v>
      </c>
      <c r="Z19" s="4">
        <v>54641.269500000002</v>
      </c>
      <c r="AA19" s="4">
        <v>15665.8613</v>
      </c>
      <c r="AB19" s="4">
        <v>35068.015599999999</v>
      </c>
      <c r="AC19" s="4">
        <v>19542.9863</v>
      </c>
      <c r="AD19" s="4">
        <v>35750.355499999998</v>
      </c>
      <c r="AE19" s="4">
        <v>437258</v>
      </c>
      <c r="AF19" s="4">
        <v>631934</v>
      </c>
      <c r="AG19" s="4">
        <v>50025</v>
      </c>
      <c r="AH19" s="4">
        <v>261600</v>
      </c>
      <c r="AI19" s="4">
        <v>51060</v>
      </c>
      <c r="AJ19" s="4">
        <v>270524.8125</v>
      </c>
      <c r="AK19" s="4">
        <v>20880</v>
      </c>
      <c r="AL19" s="4">
        <v>14785.468800000001</v>
      </c>
      <c r="AM19" s="4">
        <v>30070.5488</v>
      </c>
      <c r="AN19" s="4">
        <v>83131.132800000007</v>
      </c>
      <c r="AO19" s="4">
        <v>15750</v>
      </c>
      <c r="AP19" s="4">
        <v>29144.640599999999</v>
      </c>
      <c r="AQ19" s="4">
        <v>25862.8789</v>
      </c>
      <c r="AR19" s="4">
        <v>18762.117200000001</v>
      </c>
      <c r="AS19" s="4">
        <v>52751.664100000002</v>
      </c>
      <c r="AT19" s="4">
        <v>4286762</v>
      </c>
      <c r="AU19" s="295"/>
      <c r="AV19" s="295"/>
      <c r="AW19" s="295"/>
      <c r="AX19" s="295"/>
      <c r="AY19" s="295"/>
      <c r="AZ19" s="295"/>
      <c r="BA19" s="295"/>
      <c r="BB19" s="295"/>
    </row>
    <row r="20" spans="1:54" s="291" customFormat="1">
      <c r="A20" s="283">
        <v>19</v>
      </c>
      <c r="B20" s="3">
        <v>40237</v>
      </c>
      <c r="C20" s="4">
        <v>260960.51560000001</v>
      </c>
      <c r="D20" s="4">
        <v>55357.085899999998</v>
      </c>
      <c r="E20" s="4">
        <v>222380.20310000001</v>
      </c>
      <c r="F20" s="4">
        <v>29876.669900000001</v>
      </c>
      <c r="G20" s="4">
        <v>16015.999</v>
      </c>
      <c r="H20" s="4">
        <v>124519.94530000001</v>
      </c>
      <c r="I20" s="4">
        <v>149461.3125</v>
      </c>
      <c r="J20" s="4">
        <v>46000</v>
      </c>
      <c r="K20" s="4">
        <v>32656.502</v>
      </c>
      <c r="L20" s="4">
        <v>22577.4395</v>
      </c>
      <c r="M20" s="4">
        <v>11823.3262</v>
      </c>
      <c r="N20" s="4">
        <v>41179.621099999997</v>
      </c>
      <c r="O20" s="4">
        <v>92495.234400000001</v>
      </c>
      <c r="P20" s="4">
        <v>106038.2969</v>
      </c>
      <c r="Q20" s="4">
        <v>23326.019499999999</v>
      </c>
      <c r="R20" s="4">
        <v>42775.281300000002</v>
      </c>
      <c r="S20" s="4">
        <v>48640.261700000003</v>
      </c>
      <c r="T20" s="4">
        <v>17855.210899999998</v>
      </c>
      <c r="U20" s="4">
        <v>87561.156300000002</v>
      </c>
      <c r="V20" s="4">
        <v>11155.184600000001</v>
      </c>
      <c r="W20" s="4">
        <v>207017</v>
      </c>
      <c r="X20" s="4">
        <v>21080</v>
      </c>
      <c r="Y20" s="4">
        <v>111797.49219999999</v>
      </c>
      <c r="Z20" s="4">
        <v>59654.230499999998</v>
      </c>
      <c r="AA20" s="4">
        <v>16215.541999999999</v>
      </c>
      <c r="AB20" s="4">
        <v>34426.082000000002</v>
      </c>
      <c r="AC20" s="4">
        <v>19023.226600000002</v>
      </c>
      <c r="AD20" s="4">
        <v>37074.441400000003</v>
      </c>
      <c r="AE20" s="4">
        <v>447287.5</v>
      </c>
      <c r="AF20" s="4">
        <v>657438.0625</v>
      </c>
      <c r="AG20" s="4">
        <v>51475</v>
      </c>
      <c r="AH20" s="4">
        <v>267600</v>
      </c>
      <c r="AI20" s="4">
        <v>51980</v>
      </c>
      <c r="AJ20" s="4">
        <v>284941.5</v>
      </c>
      <c r="AK20" s="4">
        <v>21360</v>
      </c>
      <c r="AL20" s="4">
        <v>14295.343800000001</v>
      </c>
      <c r="AM20" s="4">
        <v>38734.941400000003</v>
      </c>
      <c r="AN20" s="4">
        <v>88231.203099999999</v>
      </c>
      <c r="AO20" s="4">
        <v>16012.499</v>
      </c>
      <c r="AP20" s="4">
        <v>30469.398399999998</v>
      </c>
      <c r="AQ20" s="4">
        <v>26796.078099999999</v>
      </c>
      <c r="AR20" s="4">
        <v>17062.906299999999</v>
      </c>
      <c r="AS20" s="4">
        <v>54413.132799999999</v>
      </c>
      <c r="AT20" s="4">
        <v>4434614.5</v>
      </c>
      <c r="AU20" s="295"/>
      <c r="AV20" s="295"/>
      <c r="AW20" s="295"/>
      <c r="AX20" s="295"/>
      <c r="AY20" s="295"/>
      <c r="AZ20" s="295"/>
      <c r="BA20" s="295"/>
      <c r="BB20" s="295"/>
    </row>
    <row r="21" spans="1:54" s="291" customFormat="1">
      <c r="A21" s="283">
        <v>20</v>
      </c>
      <c r="B21" s="3">
        <v>40265</v>
      </c>
      <c r="C21" s="4">
        <v>255808.75</v>
      </c>
      <c r="D21" s="4">
        <v>54642.800799999997</v>
      </c>
      <c r="E21" s="4">
        <v>251012.8438</v>
      </c>
      <c r="F21" s="4">
        <v>30969.718799999999</v>
      </c>
      <c r="G21" s="4">
        <v>15785</v>
      </c>
      <c r="H21" s="4">
        <v>128771.85159999999</v>
      </c>
      <c r="I21" s="4">
        <v>165766.1875</v>
      </c>
      <c r="J21" s="4">
        <v>49600</v>
      </c>
      <c r="K21" s="4">
        <v>39668.636700000003</v>
      </c>
      <c r="L21" s="4">
        <v>22396.373</v>
      </c>
      <c r="M21" s="4">
        <v>11613.397499999999</v>
      </c>
      <c r="N21" s="4">
        <v>45101.492200000001</v>
      </c>
      <c r="O21" s="4">
        <v>112799.07030000001</v>
      </c>
      <c r="P21" s="4">
        <v>123561.57030000001</v>
      </c>
      <c r="Q21" s="4">
        <v>23450.7559</v>
      </c>
      <c r="R21" s="4">
        <v>42117.199200000003</v>
      </c>
      <c r="S21" s="4">
        <v>56320.304700000001</v>
      </c>
      <c r="T21" s="4">
        <v>18021.3066</v>
      </c>
      <c r="U21" s="4">
        <v>92735.218800000002</v>
      </c>
      <c r="V21" s="4">
        <v>10568.069299999999</v>
      </c>
      <c r="W21" s="4">
        <v>230949.60939999999</v>
      </c>
      <c r="X21" s="4">
        <v>17670</v>
      </c>
      <c r="Y21" s="4">
        <v>136392.9375</v>
      </c>
      <c r="Z21" s="4">
        <v>60656.828099999999</v>
      </c>
      <c r="AA21" s="4">
        <v>16146.831099999999</v>
      </c>
      <c r="AB21" s="4">
        <v>35767.675799999997</v>
      </c>
      <c r="AC21" s="4">
        <v>19646.9395</v>
      </c>
      <c r="AD21" s="4">
        <v>38619.210899999998</v>
      </c>
      <c r="AE21" s="4">
        <v>492016.25</v>
      </c>
      <c r="AF21" s="4">
        <v>742788.625</v>
      </c>
      <c r="AG21" s="4">
        <v>52562.5</v>
      </c>
      <c r="AH21" s="4">
        <v>308400</v>
      </c>
      <c r="AI21" s="4">
        <v>52900</v>
      </c>
      <c r="AJ21" s="4">
        <v>312078.78129999997</v>
      </c>
      <c r="AK21" s="4">
        <v>23280</v>
      </c>
      <c r="AL21" s="4">
        <v>15438.9707</v>
      </c>
      <c r="AM21" s="4">
        <v>47993.953099999999</v>
      </c>
      <c r="AN21" s="4">
        <v>102001.3906</v>
      </c>
      <c r="AO21" s="4">
        <v>16537.5</v>
      </c>
      <c r="AP21" s="4">
        <v>33339.703099999999</v>
      </c>
      <c r="AQ21" s="4">
        <v>33061.824200000003</v>
      </c>
      <c r="AR21" s="4">
        <v>17204.5059</v>
      </c>
      <c r="AS21" s="4">
        <v>58151.441400000003</v>
      </c>
      <c r="AT21" s="4">
        <v>4877003.5</v>
      </c>
      <c r="AU21" s="295"/>
      <c r="AV21" s="295"/>
      <c r="AW21" s="295"/>
      <c r="AX21" s="295"/>
      <c r="AY21" s="295"/>
      <c r="AZ21" s="295"/>
      <c r="BA21" s="295"/>
      <c r="BB21" s="295"/>
    </row>
    <row r="22" spans="1:54" s="291" customFormat="1">
      <c r="A22" s="283">
        <v>21</v>
      </c>
      <c r="B22" s="3">
        <v>40296</v>
      </c>
      <c r="C22" s="4">
        <v>224706.1875</v>
      </c>
      <c r="D22" s="4">
        <v>48928.523399999998</v>
      </c>
      <c r="E22" s="4">
        <v>222380.20310000001</v>
      </c>
      <c r="F22" s="4">
        <v>30241.019499999999</v>
      </c>
      <c r="G22" s="4">
        <v>14553</v>
      </c>
      <c r="H22" s="4">
        <v>117838.38280000001</v>
      </c>
      <c r="I22" s="4">
        <v>174462.125</v>
      </c>
      <c r="J22" s="4">
        <v>46400</v>
      </c>
      <c r="K22" s="4">
        <v>36663.4375</v>
      </c>
      <c r="L22" s="4">
        <v>21850.1191</v>
      </c>
      <c r="M22" s="4">
        <v>11850.4053</v>
      </c>
      <c r="N22" s="4">
        <v>42922.675799999997</v>
      </c>
      <c r="O22" s="4">
        <v>116559.03909999999</v>
      </c>
      <c r="P22" s="4">
        <v>124684.8594</v>
      </c>
      <c r="Q22" s="4">
        <v>26943.421900000001</v>
      </c>
      <c r="R22" s="4">
        <v>41985.582000000002</v>
      </c>
      <c r="S22" s="4">
        <v>52297.425799999997</v>
      </c>
      <c r="T22" s="4">
        <v>19765.3027</v>
      </c>
      <c r="U22" s="4">
        <v>88351.640599999999</v>
      </c>
      <c r="V22" s="4">
        <v>11071.3105</v>
      </c>
      <c r="W22" s="4">
        <v>215991.73439999999</v>
      </c>
      <c r="X22" s="4">
        <v>17670</v>
      </c>
      <c r="Y22" s="4">
        <v>137510.92189999999</v>
      </c>
      <c r="Z22" s="4">
        <v>50630.906300000002</v>
      </c>
      <c r="AA22" s="4">
        <v>15940.7021</v>
      </c>
      <c r="AB22" s="4">
        <v>30916.007799999999</v>
      </c>
      <c r="AC22" s="4">
        <v>19335.083999999999</v>
      </c>
      <c r="AD22" s="4">
        <v>31998.773399999998</v>
      </c>
      <c r="AE22" s="4">
        <v>503612.59379999997</v>
      </c>
      <c r="AF22" s="4">
        <v>728701.8125</v>
      </c>
      <c r="AG22" s="4">
        <v>52925</v>
      </c>
      <c r="AH22" s="4">
        <v>316800</v>
      </c>
      <c r="AI22" s="4">
        <v>49450</v>
      </c>
      <c r="AJ22" s="4">
        <v>278173.53129999997</v>
      </c>
      <c r="AK22" s="4">
        <v>23640</v>
      </c>
      <c r="AL22" s="4">
        <v>14377.031300000001</v>
      </c>
      <c r="AM22" s="4">
        <v>41453.183599999997</v>
      </c>
      <c r="AN22" s="4">
        <v>95881.3125</v>
      </c>
      <c r="AO22" s="4">
        <v>15662.5</v>
      </c>
      <c r="AP22" s="4">
        <v>33560.496099999997</v>
      </c>
      <c r="AQ22" s="4">
        <v>30262.2363</v>
      </c>
      <c r="AR22" s="4">
        <v>16708.904299999998</v>
      </c>
      <c r="AS22" s="4">
        <v>56074.609400000001</v>
      </c>
      <c r="AT22" s="4">
        <v>4708810</v>
      </c>
      <c r="AU22" s="295"/>
      <c r="AV22" s="295"/>
      <c r="AW22" s="295"/>
      <c r="AX22" s="295"/>
      <c r="AY22" s="295"/>
      <c r="AZ22" s="295"/>
      <c r="BA22" s="295"/>
      <c r="BB22" s="295"/>
    </row>
    <row r="23" spans="1:54" s="291" customFormat="1">
      <c r="A23" s="283">
        <v>22</v>
      </c>
      <c r="B23" s="3">
        <v>40326</v>
      </c>
      <c r="C23" s="4">
        <v>223226.98439999999</v>
      </c>
      <c r="D23" s="4">
        <v>47857.093800000002</v>
      </c>
      <c r="E23" s="4">
        <v>223334.625</v>
      </c>
      <c r="F23" s="4">
        <v>31273.341799999998</v>
      </c>
      <c r="G23" s="4">
        <v>13783</v>
      </c>
      <c r="H23" s="4">
        <v>112979.0781</v>
      </c>
      <c r="I23" s="4">
        <v>160331.23439999999</v>
      </c>
      <c r="J23" s="4">
        <v>47800</v>
      </c>
      <c r="K23" s="4">
        <v>37264.476600000002</v>
      </c>
      <c r="L23" s="4">
        <v>22396.373</v>
      </c>
      <c r="M23" s="4">
        <v>11850.4053</v>
      </c>
      <c r="N23" s="4">
        <v>40961.738299999997</v>
      </c>
      <c r="O23" s="4">
        <v>131598.9063</v>
      </c>
      <c r="P23" s="4">
        <v>124684.8594</v>
      </c>
      <c r="Q23" s="4">
        <v>25446.5645</v>
      </c>
      <c r="R23" s="4">
        <v>40932.652300000002</v>
      </c>
      <c r="S23" s="4">
        <v>51200.277300000002</v>
      </c>
      <c r="T23" s="4">
        <v>19931.398399999998</v>
      </c>
      <c r="U23" s="4">
        <v>87552.078099999999</v>
      </c>
      <c r="V23" s="4">
        <v>10987.4365</v>
      </c>
      <c r="W23" s="4">
        <v>211205.2188</v>
      </c>
      <c r="X23" s="4">
        <v>17205</v>
      </c>
      <c r="Y23" s="4">
        <v>133039.01560000001</v>
      </c>
      <c r="Z23" s="4">
        <v>49327.535199999998</v>
      </c>
      <c r="AA23" s="4">
        <v>15803.2822</v>
      </c>
      <c r="AB23" s="4">
        <v>30590.574199999999</v>
      </c>
      <c r="AC23" s="4">
        <v>18815.324199999999</v>
      </c>
      <c r="AD23" s="4">
        <v>32440.136699999999</v>
      </c>
      <c r="AE23" s="4">
        <v>480550.25</v>
      </c>
      <c r="AF23" s="4">
        <v>697512.25</v>
      </c>
      <c r="AG23" s="4">
        <v>52200</v>
      </c>
      <c r="AH23" s="4">
        <v>294000</v>
      </c>
      <c r="AI23" s="4">
        <v>48760</v>
      </c>
      <c r="AJ23" s="4">
        <v>276477.34379999997</v>
      </c>
      <c r="AK23" s="4">
        <v>23940</v>
      </c>
      <c r="AL23" s="4">
        <v>13396.7783</v>
      </c>
      <c r="AM23" s="4">
        <v>39924.171900000001</v>
      </c>
      <c r="AN23" s="4">
        <v>92821.265599999999</v>
      </c>
      <c r="AO23" s="4">
        <v>15574.999</v>
      </c>
      <c r="AP23" s="4">
        <v>36430.800799999997</v>
      </c>
      <c r="AQ23" s="4">
        <v>31728.6875</v>
      </c>
      <c r="AR23" s="4">
        <v>16779.705099999999</v>
      </c>
      <c r="AS23" s="4">
        <v>57893.222699999998</v>
      </c>
      <c r="AT23" s="4">
        <v>4582307</v>
      </c>
      <c r="AU23" s="295"/>
      <c r="AV23" s="295"/>
      <c r="AW23" s="295"/>
      <c r="AX23" s="295"/>
      <c r="AY23" s="295"/>
      <c r="AZ23" s="295"/>
      <c r="BA23" s="295"/>
      <c r="BB23" s="295"/>
    </row>
    <row r="24" spans="1:54" s="291" customFormat="1">
      <c r="A24" s="283">
        <v>23</v>
      </c>
      <c r="B24" s="3">
        <v>40357</v>
      </c>
      <c r="C24" s="4">
        <v>257341.4063</v>
      </c>
      <c r="D24" s="4">
        <v>48571.378900000003</v>
      </c>
      <c r="E24" s="4">
        <v>238605.35939999999</v>
      </c>
      <c r="F24" s="4">
        <v>35524.089800000002</v>
      </c>
      <c r="G24" s="4">
        <v>13398</v>
      </c>
      <c r="H24" s="4">
        <v>119053.2188</v>
      </c>
      <c r="I24" s="4">
        <v>164679.20310000001</v>
      </c>
      <c r="J24" s="4">
        <v>55000</v>
      </c>
      <c r="K24" s="4">
        <v>44076.261700000003</v>
      </c>
      <c r="L24" s="4">
        <v>22578.456999999999</v>
      </c>
      <c r="M24" s="4">
        <v>14370.8359</v>
      </c>
      <c r="N24" s="4">
        <v>43576.320299999999</v>
      </c>
      <c r="O24" s="4">
        <v>152654.73439999999</v>
      </c>
      <c r="P24" s="4">
        <v>129178.00780000001</v>
      </c>
      <c r="Q24" s="4">
        <v>28814.492200000001</v>
      </c>
      <c r="R24" s="4">
        <v>43170.128900000003</v>
      </c>
      <c r="S24" s="4">
        <v>54491.722699999998</v>
      </c>
      <c r="T24" s="4">
        <v>22422.824199999999</v>
      </c>
      <c r="U24" s="4">
        <v>82754.695300000007</v>
      </c>
      <c r="V24" s="4">
        <v>12161.666999999999</v>
      </c>
      <c r="W24" s="4">
        <v>217188.35939999999</v>
      </c>
      <c r="X24" s="4">
        <v>19530</v>
      </c>
      <c r="Y24" s="4">
        <v>140864.8438</v>
      </c>
      <c r="Z24" s="4">
        <v>53137.386700000003</v>
      </c>
      <c r="AA24" s="4">
        <v>16352.9609</v>
      </c>
      <c r="AB24" s="4">
        <v>32882.457000000002</v>
      </c>
      <c r="AC24" s="4">
        <v>18919.275399999999</v>
      </c>
      <c r="AD24" s="4">
        <v>39722.617200000001</v>
      </c>
      <c r="AE24" s="4">
        <v>475579.03129999997</v>
      </c>
      <c r="AF24" s="4">
        <v>698218.9375</v>
      </c>
      <c r="AG24" s="4">
        <v>52200</v>
      </c>
      <c r="AH24" s="4">
        <v>314400</v>
      </c>
      <c r="AI24" s="4">
        <v>49220</v>
      </c>
      <c r="AJ24" s="4">
        <v>275629.25</v>
      </c>
      <c r="AK24" s="4">
        <v>26400</v>
      </c>
      <c r="AL24" s="4">
        <v>13070.0283</v>
      </c>
      <c r="AM24" s="4">
        <v>43746.699200000003</v>
      </c>
      <c r="AN24" s="4">
        <v>90271.234400000001</v>
      </c>
      <c r="AO24" s="4">
        <v>15400</v>
      </c>
      <c r="AP24" s="4">
        <v>39301.105499999998</v>
      </c>
      <c r="AQ24" s="4">
        <v>38661.007799999999</v>
      </c>
      <c r="AR24" s="4">
        <v>16425.703099999999</v>
      </c>
      <c r="AS24" s="4">
        <v>61810.808599999997</v>
      </c>
      <c r="AT24" s="4">
        <v>4786903.5</v>
      </c>
      <c r="AU24" s="295"/>
      <c r="AV24" s="295"/>
      <c r="AW24" s="295"/>
      <c r="AX24" s="295"/>
      <c r="AY24" s="295"/>
      <c r="AZ24" s="295"/>
      <c r="BA24" s="295"/>
      <c r="BB24" s="295"/>
    </row>
    <row r="25" spans="1:54" s="291" customFormat="1">
      <c r="A25" s="283">
        <v>24</v>
      </c>
      <c r="B25" s="3">
        <v>40387</v>
      </c>
      <c r="C25" s="4">
        <v>277394.21879999997</v>
      </c>
      <c r="D25" s="4">
        <v>55357.085899999998</v>
      </c>
      <c r="E25" s="4">
        <v>260557.0625</v>
      </c>
      <c r="F25" s="4">
        <v>35524.089800000002</v>
      </c>
      <c r="G25" s="4">
        <v>14014.001</v>
      </c>
      <c r="H25" s="4">
        <v>125127.36719999999</v>
      </c>
      <c r="I25" s="4">
        <v>169570.6563</v>
      </c>
      <c r="J25" s="4">
        <v>60000</v>
      </c>
      <c r="K25" s="4">
        <v>43675.566400000003</v>
      </c>
      <c r="L25" s="4">
        <v>21303.867200000001</v>
      </c>
      <c r="M25" s="4">
        <v>14609.0273</v>
      </c>
      <c r="N25" s="4">
        <v>49677.003900000003</v>
      </c>
      <c r="O25" s="4">
        <v>181230.5</v>
      </c>
      <c r="P25" s="4">
        <v>144904.0313</v>
      </c>
      <c r="Q25" s="4">
        <v>32743.742200000001</v>
      </c>
      <c r="R25" s="4">
        <v>45144.375</v>
      </c>
      <c r="S25" s="4">
        <v>58880.316400000003</v>
      </c>
      <c r="T25" s="4">
        <v>23045.679700000001</v>
      </c>
      <c r="U25" s="4">
        <v>78076.242199999993</v>
      </c>
      <c r="V25" s="4">
        <v>12077.793900000001</v>
      </c>
      <c r="W25" s="4">
        <v>239326.01560000001</v>
      </c>
      <c r="X25" s="4">
        <v>17825</v>
      </c>
      <c r="Y25" s="4">
        <v>145336.73439999999</v>
      </c>
      <c r="Z25" s="4">
        <v>56646.457000000002</v>
      </c>
      <c r="AA25" s="4">
        <v>17864.580099999999</v>
      </c>
      <c r="AB25" s="4">
        <v>35825.382799999999</v>
      </c>
      <c r="AC25" s="4">
        <v>19231.1309</v>
      </c>
      <c r="AD25" s="4">
        <v>52742.804700000001</v>
      </c>
      <c r="AE25" s="4">
        <v>493806.8125</v>
      </c>
      <c r="AF25" s="4">
        <v>721122.8125</v>
      </c>
      <c r="AG25" s="4">
        <v>54012.5</v>
      </c>
      <c r="AH25" s="4">
        <v>324000</v>
      </c>
      <c r="AI25" s="4">
        <v>52210</v>
      </c>
      <c r="AJ25" s="4">
        <v>301925.78129999997</v>
      </c>
      <c r="AK25" s="4">
        <v>27840</v>
      </c>
      <c r="AL25" s="4">
        <v>13315.0908</v>
      </c>
      <c r="AM25" s="4">
        <v>58612.082000000002</v>
      </c>
      <c r="AN25" s="4">
        <v>89761.226599999995</v>
      </c>
      <c r="AO25" s="4">
        <v>16362.501</v>
      </c>
      <c r="AP25" s="4">
        <v>43496.167999999998</v>
      </c>
      <c r="AQ25" s="4">
        <v>39994.144500000002</v>
      </c>
      <c r="AR25" s="4">
        <v>16921.304700000001</v>
      </c>
      <c r="AS25" s="4">
        <v>85316.328099999999</v>
      </c>
      <c r="AT25" s="4">
        <v>5182061.5</v>
      </c>
      <c r="AU25" s="295"/>
      <c r="AV25" s="295"/>
      <c r="AW25" s="295"/>
      <c r="AX25" s="295"/>
      <c r="AY25" s="295"/>
      <c r="AZ25" s="295"/>
      <c r="BA25" s="295"/>
      <c r="BB25" s="295"/>
    </row>
    <row r="26" spans="1:54" s="291" customFormat="1">
      <c r="A26" s="283">
        <v>25</v>
      </c>
      <c r="B26" s="3">
        <v>40418</v>
      </c>
      <c r="C26" s="4">
        <v>273741.5625</v>
      </c>
      <c r="D26" s="4">
        <v>56785.656300000002</v>
      </c>
      <c r="E26" s="4">
        <v>281554.3125</v>
      </c>
      <c r="F26" s="4">
        <v>40078.457000000002</v>
      </c>
      <c r="G26" s="4">
        <v>14553</v>
      </c>
      <c r="H26" s="4">
        <v>132416.32810000001</v>
      </c>
      <c r="I26" s="4">
        <v>166309.6875</v>
      </c>
      <c r="J26" s="4">
        <v>63500</v>
      </c>
      <c r="K26" s="4">
        <v>46480.421900000001</v>
      </c>
      <c r="L26" s="4">
        <v>23306.794900000001</v>
      </c>
      <c r="M26" s="4">
        <v>14847.2178</v>
      </c>
      <c r="N26" s="4">
        <v>65364.480499999998</v>
      </c>
      <c r="O26" s="4">
        <v>191758.42189999999</v>
      </c>
      <c r="P26" s="4">
        <v>178602.64060000001</v>
      </c>
      <c r="Q26" s="4">
        <v>35862.191400000003</v>
      </c>
      <c r="R26" s="4">
        <v>49356.093800000002</v>
      </c>
      <c r="S26" s="4">
        <v>64366.0625</v>
      </c>
      <c r="T26" s="4">
        <v>21799.966799999998</v>
      </c>
      <c r="U26" s="4">
        <v>80893.421900000001</v>
      </c>
      <c r="V26" s="4">
        <v>14342.3799</v>
      </c>
      <c r="W26" s="4">
        <v>259668.73439999999</v>
      </c>
      <c r="X26" s="4">
        <v>18290</v>
      </c>
      <c r="Y26" s="4">
        <v>160988.375</v>
      </c>
      <c r="Z26" s="4">
        <v>61158.121099999997</v>
      </c>
      <c r="AA26" s="4">
        <v>18208.1289</v>
      </c>
      <c r="AB26" s="4">
        <v>38770.984400000001</v>
      </c>
      <c r="AC26" s="4">
        <v>18815.324199999999</v>
      </c>
      <c r="AD26" s="4">
        <v>52963.488299999997</v>
      </c>
      <c r="AE26" s="4">
        <v>475964.40629999997</v>
      </c>
      <c r="AF26" s="4">
        <v>752352.5</v>
      </c>
      <c r="AG26" s="4">
        <v>56187.5</v>
      </c>
      <c r="AH26" s="4">
        <v>355200</v>
      </c>
      <c r="AI26" s="4">
        <v>52440</v>
      </c>
      <c r="AJ26" s="4">
        <v>323128.4375</v>
      </c>
      <c r="AK26" s="4">
        <v>31920</v>
      </c>
      <c r="AL26" s="4">
        <v>15112.2207</v>
      </c>
      <c r="AM26" s="4">
        <v>63708.785199999998</v>
      </c>
      <c r="AN26" s="4">
        <v>89761.226599999995</v>
      </c>
      <c r="AO26" s="4">
        <v>15925.001</v>
      </c>
      <c r="AP26" s="4">
        <v>55418.976600000002</v>
      </c>
      <c r="AQ26" s="4">
        <v>45993.265599999999</v>
      </c>
      <c r="AR26" s="4">
        <v>17133.706999999999</v>
      </c>
      <c r="AS26" s="4">
        <v>117527.5938</v>
      </c>
      <c r="AT26" s="4">
        <v>5527314.5</v>
      </c>
      <c r="AU26" s="295"/>
      <c r="AV26" s="295"/>
      <c r="AW26" s="295"/>
      <c r="AX26" s="295"/>
      <c r="AY26" s="295"/>
      <c r="AZ26" s="295"/>
      <c r="BA26" s="295"/>
      <c r="BB26" s="295"/>
    </row>
    <row r="27" spans="1:54" s="291" customFormat="1">
      <c r="A27" s="283">
        <v>26</v>
      </c>
      <c r="B27" s="3">
        <v>40449</v>
      </c>
      <c r="C27" s="4">
        <v>281976.90629999997</v>
      </c>
      <c r="D27" s="4">
        <v>59285.656300000002</v>
      </c>
      <c r="E27" s="4">
        <v>297779.5</v>
      </c>
      <c r="F27" s="4">
        <v>47972.699200000003</v>
      </c>
      <c r="G27" s="4">
        <v>14399.001</v>
      </c>
      <c r="H27" s="4">
        <v>153372.125</v>
      </c>
      <c r="I27" s="4">
        <v>194571.4688</v>
      </c>
      <c r="J27" s="4">
        <v>77500</v>
      </c>
      <c r="K27" s="4">
        <v>52490.820299999999</v>
      </c>
      <c r="L27" s="4">
        <v>25491.8066</v>
      </c>
      <c r="M27" s="4">
        <v>15720.584000000001</v>
      </c>
      <c r="N27" s="4">
        <v>65909.1875</v>
      </c>
      <c r="O27" s="4">
        <v>189878.4375</v>
      </c>
      <c r="P27" s="4">
        <v>189835.5</v>
      </c>
      <c r="Q27" s="4">
        <v>33991.121099999997</v>
      </c>
      <c r="R27" s="4">
        <v>49224.476600000002</v>
      </c>
      <c r="S27" s="4">
        <v>62537.480499999998</v>
      </c>
      <c r="T27" s="4">
        <v>21177.1113</v>
      </c>
      <c r="U27" s="4">
        <v>83710.601599999995</v>
      </c>
      <c r="V27" s="4">
        <v>21178.0762</v>
      </c>
      <c r="W27" s="4">
        <v>280011.4375</v>
      </c>
      <c r="X27" s="4">
        <v>17050</v>
      </c>
      <c r="Y27" s="4">
        <v>190055.73439999999</v>
      </c>
      <c r="Z27" s="4">
        <v>74191.820300000007</v>
      </c>
      <c r="AA27" s="4">
        <v>20956.525399999999</v>
      </c>
      <c r="AB27" s="4">
        <v>44005.089800000002</v>
      </c>
      <c r="AC27" s="4">
        <v>19023.226600000002</v>
      </c>
      <c r="AD27" s="4">
        <v>53625.531300000002</v>
      </c>
      <c r="AE27" s="4">
        <v>510791.0625</v>
      </c>
      <c r="AF27" s="4">
        <v>844208.6875</v>
      </c>
      <c r="AG27" s="4">
        <v>55100</v>
      </c>
      <c r="AH27" s="4">
        <v>399600</v>
      </c>
      <c r="AI27" s="4">
        <v>55200</v>
      </c>
      <c r="AJ27" s="4">
        <v>351115.9375</v>
      </c>
      <c r="AK27" s="4">
        <v>36000</v>
      </c>
      <c r="AL27" s="4">
        <v>15193.9082</v>
      </c>
      <c r="AM27" s="4">
        <v>91676.421900000001</v>
      </c>
      <c r="AN27" s="4">
        <v>107611.4688</v>
      </c>
      <c r="AO27" s="4">
        <v>16187.5</v>
      </c>
      <c r="AP27" s="4">
        <v>53553.277300000002</v>
      </c>
      <c r="AQ27" s="4">
        <v>54991.949200000003</v>
      </c>
      <c r="AR27" s="4">
        <v>17062.906299999999</v>
      </c>
      <c r="AS27" s="4">
        <v>107080.69530000001</v>
      </c>
      <c r="AT27" s="4">
        <v>6009536</v>
      </c>
      <c r="AU27" s="295"/>
      <c r="AV27" s="295"/>
      <c r="AW27" s="295"/>
      <c r="AX27" s="295"/>
      <c r="AY27" s="295"/>
      <c r="AZ27" s="295"/>
      <c r="BA27" s="295"/>
      <c r="BB27" s="295"/>
    </row>
    <row r="28" spans="1:54" s="291" customFormat="1">
      <c r="A28" s="283">
        <v>27</v>
      </c>
      <c r="B28" s="3">
        <v>40479</v>
      </c>
      <c r="C28" s="4">
        <v>267167.53129999997</v>
      </c>
      <c r="D28" s="4">
        <v>55714.230499999998</v>
      </c>
      <c r="E28" s="4">
        <v>284417.59379999997</v>
      </c>
      <c r="F28" s="4">
        <v>48883.574200000003</v>
      </c>
      <c r="G28" s="4">
        <v>14322</v>
      </c>
      <c r="H28" s="4">
        <v>145172.0313</v>
      </c>
      <c r="I28" s="4">
        <v>210332.8438</v>
      </c>
      <c r="J28" s="4">
        <v>66500</v>
      </c>
      <c r="K28" s="4">
        <v>50487.355499999998</v>
      </c>
      <c r="L28" s="4">
        <v>25127.636699999999</v>
      </c>
      <c r="M28" s="4">
        <v>15331.6113</v>
      </c>
      <c r="N28" s="4">
        <v>60462.144500000002</v>
      </c>
      <c r="O28" s="4">
        <v>175214.54689999999</v>
      </c>
      <c r="P28" s="4">
        <v>199945.0938</v>
      </c>
      <c r="Q28" s="4">
        <v>39604.335899999998</v>
      </c>
      <c r="R28" s="4">
        <v>50540.640599999999</v>
      </c>
      <c r="S28" s="4">
        <v>72777.539099999995</v>
      </c>
      <c r="T28" s="4">
        <v>20761.873</v>
      </c>
      <c r="U28" s="4">
        <v>85520.007800000007</v>
      </c>
      <c r="V28" s="4">
        <v>20381.277300000002</v>
      </c>
      <c r="W28" s="4">
        <v>280011.4375</v>
      </c>
      <c r="X28" s="4">
        <v>19685</v>
      </c>
      <c r="Y28" s="4">
        <v>188937.75</v>
      </c>
      <c r="Z28" s="4">
        <v>70181.453099999999</v>
      </c>
      <c r="AA28" s="4">
        <v>18551.6777</v>
      </c>
      <c r="AB28" s="4">
        <v>39785.664100000002</v>
      </c>
      <c r="AC28" s="4">
        <v>19854.843799999999</v>
      </c>
      <c r="AD28" s="4">
        <v>47667.140599999999</v>
      </c>
      <c r="AE28" s="4">
        <v>567177.0625</v>
      </c>
      <c r="AF28" s="4">
        <v>862282.4375</v>
      </c>
      <c r="AG28" s="4">
        <v>52925</v>
      </c>
      <c r="AH28" s="4">
        <v>379200</v>
      </c>
      <c r="AI28" s="4">
        <v>53130</v>
      </c>
      <c r="AJ28" s="4">
        <v>347743.5625</v>
      </c>
      <c r="AK28" s="4">
        <v>32640</v>
      </c>
      <c r="AL28" s="4">
        <v>14540.406300000001</v>
      </c>
      <c r="AM28" s="4">
        <v>101498.8906</v>
      </c>
      <c r="AN28" s="4">
        <v>108121.47659999999</v>
      </c>
      <c r="AO28" s="4">
        <v>16450</v>
      </c>
      <c r="AP28" s="4">
        <v>54988.941400000003</v>
      </c>
      <c r="AQ28" s="4">
        <v>52658.957000000002</v>
      </c>
      <c r="AR28" s="4">
        <v>16496.502</v>
      </c>
      <c r="AS28" s="4">
        <v>98374.945300000007</v>
      </c>
      <c r="AT28" s="4">
        <v>6041076.5</v>
      </c>
      <c r="AU28" s="295"/>
      <c r="AV28" s="295"/>
      <c r="AW28" s="295"/>
      <c r="AX28" s="295"/>
      <c r="AY28" s="295"/>
      <c r="AZ28" s="295"/>
      <c r="BA28" s="295"/>
      <c r="BB28" s="295"/>
    </row>
    <row r="29" spans="1:54" s="291" customFormat="1">
      <c r="A29" s="283">
        <v>28</v>
      </c>
      <c r="B29" s="3">
        <v>40510</v>
      </c>
      <c r="C29" s="4">
        <v>268746</v>
      </c>
      <c r="D29" s="4">
        <v>54642.800799999997</v>
      </c>
      <c r="E29" s="4">
        <v>274873.375</v>
      </c>
      <c r="F29" s="4">
        <v>47660.875</v>
      </c>
      <c r="G29" s="4">
        <v>14245</v>
      </c>
      <c r="H29" s="4">
        <v>136668.23439999999</v>
      </c>
      <c r="I29" s="4">
        <v>206528.375</v>
      </c>
      <c r="J29" s="4">
        <v>70000</v>
      </c>
      <c r="K29" s="4">
        <v>56898.445299999999</v>
      </c>
      <c r="L29" s="4">
        <v>23853.046900000001</v>
      </c>
      <c r="M29" s="4">
        <v>12721.9746</v>
      </c>
      <c r="N29" s="4">
        <v>57193.921900000001</v>
      </c>
      <c r="O29" s="4">
        <v>187998.45310000001</v>
      </c>
      <c r="P29" s="4">
        <v>184219.0625</v>
      </c>
      <c r="Q29" s="4">
        <v>40851.714800000002</v>
      </c>
      <c r="R29" s="4">
        <v>49487.710899999998</v>
      </c>
      <c r="S29" s="4">
        <v>66194.640599999999</v>
      </c>
      <c r="T29" s="4">
        <v>20595.779299999998</v>
      </c>
      <c r="U29" s="4">
        <v>93184.539099999995</v>
      </c>
      <c r="V29" s="4">
        <v>19374.793000000001</v>
      </c>
      <c r="W29" s="4">
        <v>285994.59379999997</v>
      </c>
      <c r="X29" s="4">
        <v>20925</v>
      </c>
      <c r="Y29" s="4">
        <v>181111.9375</v>
      </c>
      <c r="Z29" s="4">
        <v>68176.265599999999</v>
      </c>
      <c r="AA29" s="4">
        <v>19238.777300000002</v>
      </c>
      <c r="AB29" s="4">
        <v>38161.785199999998</v>
      </c>
      <c r="AC29" s="4">
        <v>19335.083999999999</v>
      </c>
      <c r="AD29" s="4">
        <v>46343.050799999997</v>
      </c>
      <c r="AE29" s="4">
        <v>554013.75</v>
      </c>
      <c r="AF29" s="4">
        <v>879357.3125</v>
      </c>
      <c r="AG29" s="4">
        <v>50750</v>
      </c>
      <c r="AH29" s="4">
        <v>398400</v>
      </c>
      <c r="AI29" s="4">
        <v>52210</v>
      </c>
      <c r="AJ29" s="4">
        <v>351136.1875</v>
      </c>
      <c r="AK29" s="4">
        <v>39480</v>
      </c>
      <c r="AL29" s="4">
        <v>13315.0908</v>
      </c>
      <c r="AM29" s="4">
        <v>120052.4531</v>
      </c>
      <c r="AN29" s="4">
        <v>137191.875</v>
      </c>
      <c r="AO29" s="4">
        <v>22093.75</v>
      </c>
      <c r="AP29" s="4">
        <v>51402.707000000002</v>
      </c>
      <c r="AQ29" s="4">
        <v>49659.394500000002</v>
      </c>
      <c r="AR29" s="4">
        <v>14443.29</v>
      </c>
      <c r="AS29" s="4">
        <v>93151.507800000007</v>
      </c>
      <c r="AT29" s="4">
        <v>6229164</v>
      </c>
      <c r="AU29" s="295"/>
      <c r="AV29" s="295"/>
      <c r="AW29" s="295"/>
      <c r="AX29" s="295"/>
      <c r="AY29" s="295"/>
      <c r="AZ29" s="295"/>
      <c r="BA29" s="295"/>
      <c r="BB29" s="295"/>
    </row>
    <row r="30" spans="1:54" s="291" customFormat="1">
      <c r="A30" s="283">
        <v>29</v>
      </c>
      <c r="B30" s="3">
        <v>40540</v>
      </c>
      <c r="C30" s="4">
        <v>252456.4688</v>
      </c>
      <c r="D30" s="4">
        <v>55714.230499999998</v>
      </c>
      <c r="E30" s="4">
        <v>280599.90629999997</v>
      </c>
      <c r="F30" s="4">
        <v>57940.671900000001</v>
      </c>
      <c r="G30" s="4">
        <v>15169.001</v>
      </c>
      <c r="H30" s="4">
        <v>156409.20310000001</v>
      </c>
      <c r="I30" s="4">
        <v>215224.29689999999</v>
      </c>
      <c r="J30" s="4">
        <v>63500</v>
      </c>
      <c r="K30" s="4">
        <v>72725.828099999999</v>
      </c>
      <c r="L30" s="4">
        <v>23124.710899999998</v>
      </c>
      <c r="M30" s="4">
        <v>14108.3447</v>
      </c>
      <c r="N30" s="4">
        <v>58283.328099999999</v>
      </c>
      <c r="O30" s="4">
        <v>185742.4688</v>
      </c>
      <c r="P30" s="4">
        <v>176356.0625</v>
      </c>
      <c r="Q30" s="4">
        <v>43658.355499999998</v>
      </c>
      <c r="R30" s="4">
        <v>54489.128900000003</v>
      </c>
      <c r="S30" s="4">
        <v>69120.375</v>
      </c>
      <c r="T30" s="4">
        <v>20761.873</v>
      </c>
      <c r="U30" s="4">
        <v>131103.79689999999</v>
      </c>
      <c r="V30" s="4">
        <v>19458.666000000001</v>
      </c>
      <c r="W30" s="4">
        <v>300354.15629999997</v>
      </c>
      <c r="X30" s="4">
        <v>19375</v>
      </c>
      <c r="Y30" s="4">
        <v>193409.6563</v>
      </c>
      <c r="Z30" s="4">
        <v>64667.191400000003</v>
      </c>
      <c r="AA30" s="4">
        <v>20097.652300000002</v>
      </c>
      <c r="AB30" s="4">
        <v>38495.605499999998</v>
      </c>
      <c r="AC30" s="4">
        <v>18919.275399999999</v>
      </c>
      <c r="AD30" s="4">
        <v>40826.023399999998</v>
      </c>
      <c r="AE30" s="4">
        <v>557331.1875</v>
      </c>
      <c r="AF30" s="4">
        <v>910661.3125</v>
      </c>
      <c r="AG30" s="4">
        <v>55462.5</v>
      </c>
      <c r="AH30" s="4">
        <v>409200</v>
      </c>
      <c r="AI30" s="4">
        <v>53820</v>
      </c>
      <c r="AJ30" s="4">
        <v>351136.1875</v>
      </c>
      <c r="AK30" s="4">
        <v>40800</v>
      </c>
      <c r="AL30" s="4">
        <v>13315.0908</v>
      </c>
      <c r="AM30" s="4">
        <v>106955.82030000001</v>
      </c>
      <c r="AN30" s="4">
        <v>159632.1875</v>
      </c>
      <c r="AO30" s="4">
        <v>26906.25</v>
      </c>
      <c r="AP30" s="4">
        <v>50207.292999999998</v>
      </c>
      <c r="AQ30" s="4">
        <v>47992.972699999998</v>
      </c>
      <c r="AR30" s="4">
        <v>14655.6924</v>
      </c>
      <c r="AS30" s="4">
        <v>102727.82030000001</v>
      </c>
      <c r="AT30" s="4">
        <v>6417106</v>
      </c>
      <c r="AU30" s="295"/>
      <c r="AV30" s="295"/>
      <c r="AW30" s="295"/>
      <c r="AX30" s="295"/>
      <c r="AY30" s="295"/>
      <c r="AZ30" s="295"/>
      <c r="BA30" s="295"/>
      <c r="BB30" s="295"/>
    </row>
    <row r="31" spans="1:54" s="291" customFormat="1">
      <c r="A31" s="283">
        <v>30</v>
      </c>
      <c r="B31" s="3">
        <v>40571</v>
      </c>
      <c r="C31" s="4">
        <v>237622.375</v>
      </c>
      <c r="D31" s="4">
        <v>46785.667999999998</v>
      </c>
      <c r="E31" s="4">
        <v>284417.59379999997</v>
      </c>
      <c r="F31" s="4">
        <v>59809.726600000002</v>
      </c>
      <c r="G31" s="4">
        <v>14553</v>
      </c>
      <c r="H31" s="4">
        <v>149423.9375</v>
      </c>
      <c r="I31" s="4">
        <v>198375.9375</v>
      </c>
      <c r="J31" s="4">
        <v>63000</v>
      </c>
      <c r="K31" s="4">
        <v>65112.660199999998</v>
      </c>
      <c r="L31" s="4">
        <v>23853.046900000001</v>
      </c>
      <c r="M31" s="4">
        <v>13292.833000000001</v>
      </c>
      <c r="N31" s="4">
        <v>58283.328099999999</v>
      </c>
      <c r="O31" s="4">
        <v>164686.64060000001</v>
      </c>
      <c r="P31" s="4">
        <v>172986.20310000001</v>
      </c>
      <c r="Q31" s="4">
        <v>35550.375</v>
      </c>
      <c r="R31" s="4">
        <v>56068.523399999998</v>
      </c>
      <c r="S31" s="4">
        <v>58880.316400000003</v>
      </c>
      <c r="T31" s="4">
        <v>20969.492200000001</v>
      </c>
      <c r="U31" s="4">
        <v>102337.9688</v>
      </c>
      <c r="V31" s="4">
        <v>15264.989299999999</v>
      </c>
      <c r="W31" s="4">
        <v>275224.9375</v>
      </c>
      <c r="X31" s="4">
        <v>20615</v>
      </c>
      <c r="Y31" s="4">
        <v>176640.0313</v>
      </c>
      <c r="Z31" s="4">
        <v>55643.867200000001</v>
      </c>
      <c r="AA31" s="4">
        <v>19925.877</v>
      </c>
      <c r="AB31" s="4">
        <v>35254.542999999998</v>
      </c>
      <c r="AC31" s="4">
        <v>18503.466799999998</v>
      </c>
      <c r="AD31" s="4">
        <v>36412.398399999998</v>
      </c>
      <c r="AE31" s="4">
        <v>532450.3125</v>
      </c>
      <c r="AF31" s="4">
        <v>954429.0625</v>
      </c>
      <c r="AG31" s="4">
        <v>58362.5</v>
      </c>
      <c r="AH31" s="4">
        <v>374400</v>
      </c>
      <c r="AI31" s="4">
        <v>49910</v>
      </c>
      <c r="AJ31" s="4">
        <v>318916.46879999997</v>
      </c>
      <c r="AK31" s="4">
        <v>34080</v>
      </c>
      <c r="AL31" s="4">
        <v>11681.3369</v>
      </c>
      <c r="AM31" s="4">
        <v>81853.945300000007</v>
      </c>
      <c r="AN31" s="4">
        <v>138721.89060000001</v>
      </c>
      <c r="AO31" s="4">
        <v>21875</v>
      </c>
      <c r="AP31" s="4">
        <v>43034.824200000003</v>
      </c>
      <c r="AQ31" s="4">
        <v>40327.429700000001</v>
      </c>
      <c r="AR31" s="4">
        <v>12885.680700000001</v>
      </c>
      <c r="AS31" s="4">
        <v>88798.625</v>
      </c>
      <c r="AT31" s="4">
        <v>6041389</v>
      </c>
      <c r="AU31" s="295"/>
      <c r="AV31" s="295"/>
      <c r="AW31" s="295"/>
      <c r="AX31" s="295"/>
      <c r="AY31" s="295"/>
      <c r="AZ31" s="295"/>
      <c r="BA31" s="295"/>
      <c r="BB31" s="295"/>
    </row>
    <row r="32" spans="1:54" s="291" customFormat="1">
      <c r="A32" s="283">
        <v>31</v>
      </c>
      <c r="B32" s="3">
        <v>40602</v>
      </c>
      <c r="C32" s="4">
        <v>236139.32810000001</v>
      </c>
      <c r="D32" s="4">
        <v>47142.808599999997</v>
      </c>
      <c r="E32" s="4">
        <v>305414.875</v>
      </c>
      <c r="F32" s="4">
        <v>61367.269500000002</v>
      </c>
      <c r="G32" s="4">
        <v>14475.999</v>
      </c>
      <c r="H32" s="4">
        <v>150031.35939999999</v>
      </c>
      <c r="I32" s="4">
        <v>197288.9375</v>
      </c>
      <c r="J32" s="4">
        <v>67000</v>
      </c>
      <c r="K32" s="4">
        <v>62508.152300000002</v>
      </c>
      <c r="L32" s="4">
        <v>24217.216799999998</v>
      </c>
      <c r="M32" s="4">
        <v>13374.3838</v>
      </c>
      <c r="N32" s="4">
        <v>57193.921900000001</v>
      </c>
      <c r="O32" s="4">
        <v>178974.51560000001</v>
      </c>
      <c r="P32" s="4">
        <v>175232.76560000001</v>
      </c>
      <c r="Q32" s="4">
        <v>34302.996099999997</v>
      </c>
      <c r="R32" s="4">
        <v>52383.265599999999</v>
      </c>
      <c r="S32" s="4">
        <v>59611.75</v>
      </c>
      <c r="T32" s="4">
        <v>21177.1113</v>
      </c>
      <c r="U32" s="4">
        <v>112470.4375</v>
      </c>
      <c r="V32" s="4">
        <v>15432.7363</v>
      </c>
      <c r="W32" s="4">
        <v>281208.0625</v>
      </c>
      <c r="X32" s="4">
        <v>19685</v>
      </c>
      <c r="Y32" s="4">
        <v>183347.875</v>
      </c>
      <c r="Z32" s="4">
        <v>56145.160199999998</v>
      </c>
      <c r="AA32" s="4">
        <v>20269.425800000001</v>
      </c>
      <c r="AB32" s="4">
        <v>34933.800799999997</v>
      </c>
      <c r="AC32" s="4">
        <v>18399.515599999999</v>
      </c>
      <c r="AD32" s="4">
        <v>38619.210899999998</v>
      </c>
      <c r="AE32" s="4">
        <v>603954.9375</v>
      </c>
      <c r="AF32" s="4">
        <v>960127.1875</v>
      </c>
      <c r="AG32" s="4">
        <v>55462.5</v>
      </c>
      <c r="AH32" s="4">
        <v>373200</v>
      </c>
      <c r="AI32" s="4">
        <v>48070</v>
      </c>
      <c r="AJ32" s="4">
        <v>346058.28129999997</v>
      </c>
      <c r="AK32" s="4">
        <v>33480</v>
      </c>
      <c r="AL32" s="4">
        <v>11027.8369</v>
      </c>
      <c r="AM32" s="4">
        <v>84036.718800000002</v>
      </c>
      <c r="AN32" s="4">
        <v>150452.0625</v>
      </c>
      <c r="AO32" s="4">
        <v>21787.5</v>
      </c>
      <c r="AP32" s="4">
        <v>39926.753900000003</v>
      </c>
      <c r="AQ32" s="4">
        <v>39660.859400000001</v>
      </c>
      <c r="AR32" s="4">
        <v>12885.680700000001</v>
      </c>
      <c r="AS32" s="4">
        <v>99245.523400000005</v>
      </c>
      <c r="AT32" s="4">
        <v>6242939.5</v>
      </c>
      <c r="AU32" s="295"/>
      <c r="AV32" s="295"/>
      <c r="AW32" s="295"/>
      <c r="AX32" s="295"/>
      <c r="AY32" s="295"/>
      <c r="AZ32" s="295"/>
      <c r="BA32" s="295"/>
      <c r="BB32" s="295"/>
    </row>
    <row r="33" spans="1:54" s="291" customFormat="1">
      <c r="A33" s="283">
        <v>32</v>
      </c>
      <c r="B33" s="3">
        <v>40630</v>
      </c>
      <c r="C33" s="4">
        <v>267361.9375</v>
      </c>
      <c r="D33" s="4">
        <v>51428.519500000002</v>
      </c>
      <c r="E33" s="4">
        <v>328320.96879999997</v>
      </c>
      <c r="F33" s="4">
        <v>64482.359400000001</v>
      </c>
      <c r="G33" s="4">
        <v>14553</v>
      </c>
      <c r="H33" s="4">
        <v>150638.76560000001</v>
      </c>
      <c r="I33" s="4">
        <v>207071.85939999999</v>
      </c>
      <c r="J33" s="4">
        <v>67500</v>
      </c>
      <c r="K33" s="4">
        <v>63509.886700000003</v>
      </c>
      <c r="L33" s="4">
        <v>27678.578099999999</v>
      </c>
      <c r="M33" s="4">
        <v>12885.078100000001</v>
      </c>
      <c r="N33" s="4">
        <v>62096.257799999999</v>
      </c>
      <c r="O33" s="4">
        <v>193638.4063</v>
      </c>
      <c r="P33" s="4">
        <v>179725.92189999999</v>
      </c>
      <c r="Q33" s="4">
        <v>33367.457000000002</v>
      </c>
      <c r="R33" s="4">
        <v>49092.859400000001</v>
      </c>
      <c r="S33" s="4">
        <v>61440.332000000002</v>
      </c>
      <c r="T33" s="4">
        <v>19931.398399999998</v>
      </c>
      <c r="U33" s="4">
        <v>116523.4219</v>
      </c>
      <c r="V33" s="4">
        <v>17613.4473</v>
      </c>
      <c r="W33" s="4">
        <v>303944.03129999997</v>
      </c>
      <c r="X33" s="4">
        <v>20929.222699999998</v>
      </c>
      <c r="Y33" s="4">
        <v>205707.375</v>
      </c>
      <c r="Z33" s="4">
        <v>69680.156300000002</v>
      </c>
      <c r="AA33" s="4">
        <v>19925.877</v>
      </c>
      <c r="AB33" s="4">
        <v>39184.3125</v>
      </c>
      <c r="AC33" s="4">
        <v>18815.324199999999</v>
      </c>
      <c r="AD33" s="4">
        <v>40617.625</v>
      </c>
      <c r="AE33" s="4">
        <v>597318.0625</v>
      </c>
      <c r="AF33" s="4">
        <v>1008560.875</v>
      </c>
      <c r="AG33" s="4">
        <v>55100</v>
      </c>
      <c r="AH33" s="4">
        <v>421200</v>
      </c>
      <c r="AI33" s="4">
        <v>47840</v>
      </c>
      <c r="AJ33" s="4">
        <v>366414.65629999997</v>
      </c>
      <c r="AK33" s="4">
        <v>35040</v>
      </c>
      <c r="AL33" s="4">
        <v>12824.9658</v>
      </c>
      <c r="AM33" s="4">
        <v>82399.640599999999</v>
      </c>
      <c r="AN33" s="4">
        <v>169832.32810000001</v>
      </c>
      <c r="AO33" s="4">
        <v>24937.5</v>
      </c>
      <c r="AP33" s="4">
        <v>43991.152300000002</v>
      </c>
      <c r="AQ33" s="4">
        <v>43326.988299999997</v>
      </c>
      <c r="AR33" s="4">
        <v>13310.482400000001</v>
      </c>
      <c r="AS33" s="4">
        <v>102727.82030000001</v>
      </c>
      <c r="AT33" s="4">
        <v>6675116</v>
      </c>
      <c r="AU33" s="295"/>
      <c r="AV33" s="295"/>
      <c r="AW33" s="295"/>
      <c r="AX33" s="295"/>
      <c r="AY33" s="295"/>
      <c r="AZ33" s="295"/>
      <c r="BA33" s="295"/>
      <c r="BB33" s="295"/>
    </row>
    <row r="34" spans="1:54" s="291" customFormat="1">
      <c r="A34" s="283">
        <v>33</v>
      </c>
      <c r="B34" s="3">
        <v>40661</v>
      </c>
      <c r="C34" s="4">
        <v>274891.90629999997</v>
      </c>
      <c r="D34" s="4">
        <v>52857.089800000002</v>
      </c>
      <c r="E34" s="4">
        <v>324503.28129999997</v>
      </c>
      <c r="F34" s="4">
        <v>77384.039099999995</v>
      </c>
      <c r="G34" s="4">
        <v>13783</v>
      </c>
      <c r="H34" s="4">
        <v>174631.625</v>
      </c>
      <c r="I34" s="4">
        <v>202723.9063</v>
      </c>
      <c r="J34" s="4">
        <v>69000</v>
      </c>
      <c r="K34" s="4">
        <v>69319.9375</v>
      </c>
      <c r="L34" s="4">
        <v>28224.8652</v>
      </c>
      <c r="M34" s="4">
        <v>13700.588900000001</v>
      </c>
      <c r="N34" s="4">
        <v>64275.070299999999</v>
      </c>
      <c r="O34" s="4">
        <v>221838.17189999999</v>
      </c>
      <c r="P34" s="4">
        <v>194328.6563</v>
      </c>
      <c r="Q34" s="4">
        <v>32743.767599999999</v>
      </c>
      <c r="R34" s="4">
        <v>49882.558599999997</v>
      </c>
      <c r="S34" s="4">
        <v>66926.078099999999</v>
      </c>
      <c r="T34" s="4">
        <v>20512.732400000001</v>
      </c>
      <c r="U34" s="4">
        <v>126243.64840000001</v>
      </c>
      <c r="V34" s="4">
        <v>18536.0586</v>
      </c>
      <c r="W34" s="4">
        <v>302747.40629999997</v>
      </c>
      <c r="X34" s="4">
        <v>21084.2539</v>
      </c>
      <c r="Y34" s="4">
        <v>219123.07810000001</v>
      </c>
      <c r="Z34" s="4">
        <v>66171.078099999999</v>
      </c>
      <c r="AA34" s="4">
        <v>21128.300800000001</v>
      </c>
      <c r="AB34" s="4">
        <v>41199.628900000003</v>
      </c>
      <c r="AC34" s="4">
        <v>19335.083999999999</v>
      </c>
      <c r="AD34" s="4">
        <v>45032.585899999998</v>
      </c>
      <c r="AE34" s="4">
        <v>613910.1875</v>
      </c>
      <c r="AF34" s="4">
        <v>1069542.375</v>
      </c>
      <c r="AG34" s="4">
        <v>58000</v>
      </c>
      <c r="AH34" s="4">
        <v>450000</v>
      </c>
      <c r="AI34" s="4">
        <v>49910</v>
      </c>
      <c r="AJ34" s="4">
        <v>393571.75</v>
      </c>
      <c r="AK34" s="4">
        <v>39720</v>
      </c>
      <c r="AL34" s="4">
        <v>12089.776400000001</v>
      </c>
      <c r="AM34" s="4">
        <v>83491.023400000005</v>
      </c>
      <c r="AN34" s="4">
        <v>172382.35939999999</v>
      </c>
      <c r="AO34" s="4">
        <v>24281.25</v>
      </c>
      <c r="AP34" s="4">
        <v>44230.234400000001</v>
      </c>
      <c r="AQ34" s="4">
        <v>40660.714800000002</v>
      </c>
      <c r="AR34" s="4">
        <v>15788.498</v>
      </c>
      <c r="AS34" s="4">
        <v>100986.6719</v>
      </c>
      <c r="AT34" s="4">
        <v>7017280</v>
      </c>
      <c r="AU34" s="295"/>
      <c r="AV34" s="295"/>
      <c r="AW34" s="295"/>
      <c r="AX34" s="295"/>
      <c r="AY34" s="295"/>
      <c r="AZ34" s="295"/>
      <c r="BA34" s="295"/>
      <c r="BB34" s="295"/>
    </row>
    <row r="35" spans="1:54" s="291" customFormat="1">
      <c r="A35" s="283">
        <v>34</v>
      </c>
      <c r="B35" s="3">
        <v>40691</v>
      </c>
      <c r="C35" s="4">
        <v>288360.96879999997</v>
      </c>
      <c r="D35" s="4">
        <v>56071.371099999997</v>
      </c>
      <c r="E35" s="4">
        <v>309232.5625</v>
      </c>
      <c r="F35" s="4">
        <v>81519.875</v>
      </c>
      <c r="G35" s="4">
        <v>13860</v>
      </c>
      <c r="H35" s="4">
        <v>170076.0313</v>
      </c>
      <c r="I35" s="4">
        <v>201093.4063</v>
      </c>
      <c r="J35" s="4">
        <v>72500</v>
      </c>
      <c r="K35" s="4">
        <v>71323.406300000002</v>
      </c>
      <c r="L35" s="4">
        <v>28406.960899999998</v>
      </c>
      <c r="M35" s="4">
        <v>13292.833000000001</v>
      </c>
      <c r="N35" s="4">
        <v>64275.070299999999</v>
      </c>
      <c r="O35" s="4">
        <v>225598.14060000001</v>
      </c>
      <c r="P35" s="4">
        <v>199945.0938</v>
      </c>
      <c r="Q35" s="4">
        <v>30810.3262</v>
      </c>
      <c r="R35" s="4">
        <v>50145.792999999998</v>
      </c>
      <c r="S35" s="4">
        <v>73508.968800000002</v>
      </c>
      <c r="T35" s="4">
        <v>20346.636699999999</v>
      </c>
      <c r="U35" s="4">
        <v>119116.99219999999</v>
      </c>
      <c r="V35" s="4">
        <v>16187.5977</v>
      </c>
      <c r="W35" s="4">
        <v>297960.90629999997</v>
      </c>
      <c r="X35" s="4">
        <v>20774.1914</v>
      </c>
      <c r="Y35" s="4">
        <v>213533.20310000001</v>
      </c>
      <c r="Z35" s="4">
        <v>63664.601600000002</v>
      </c>
      <c r="AA35" s="4">
        <v>20784.752</v>
      </c>
      <c r="AB35" s="4">
        <v>39903.902300000002</v>
      </c>
      <c r="AC35" s="4">
        <v>18399.515599999999</v>
      </c>
      <c r="AD35" s="4">
        <v>42162.863299999997</v>
      </c>
      <c r="AE35" s="4">
        <v>589116.1875</v>
      </c>
      <c r="AF35" s="4">
        <v>1009648</v>
      </c>
      <c r="AG35" s="4">
        <v>63800</v>
      </c>
      <c r="AH35" s="4">
        <v>426000</v>
      </c>
      <c r="AI35" s="4">
        <v>54050</v>
      </c>
      <c r="AJ35" s="4">
        <v>390178.90629999997</v>
      </c>
      <c r="AK35" s="4">
        <v>47520</v>
      </c>
      <c r="AL35" s="4">
        <v>12171.463900000001</v>
      </c>
      <c r="AM35" s="4">
        <v>77488.406300000002</v>
      </c>
      <c r="AN35" s="4">
        <v>164732.25</v>
      </c>
      <c r="AO35" s="4">
        <v>25593.75</v>
      </c>
      <c r="AP35" s="4">
        <v>45903.8125</v>
      </c>
      <c r="AQ35" s="4">
        <v>40660.714800000002</v>
      </c>
      <c r="AR35" s="4">
        <v>15009.694299999999</v>
      </c>
      <c r="AS35" s="4">
        <v>91410.343800000002</v>
      </c>
      <c r="AT35" s="4">
        <v>6866531.5</v>
      </c>
      <c r="AU35" s="295"/>
      <c r="AV35" s="295"/>
      <c r="AW35" s="295"/>
      <c r="AX35" s="295"/>
      <c r="AY35" s="295"/>
      <c r="AZ35" s="295"/>
      <c r="BA35" s="295"/>
      <c r="BB35" s="295"/>
    </row>
    <row r="36" spans="1:54" s="291" customFormat="1">
      <c r="A36" s="283">
        <v>35</v>
      </c>
      <c r="B36" s="3">
        <v>40722</v>
      </c>
      <c r="C36" s="4">
        <v>309201.90629999997</v>
      </c>
      <c r="D36" s="4">
        <v>51428.519500000002</v>
      </c>
      <c r="E36" s="4">
        <v>301597.1875</v>
      </c>
      <c r="F36" s="4">
        <v>81519.875</v>
      </c>
      <c r="G36" s="4">
        <v>13783</v>
      </c>
      <c r="H36" s="4">
        <v>167038.95310000001</v>
      </c>
      <c r="I36" s="4">
        <v>194571.4688</v>
      </c>
      <c r="J36" s="4">
        <v>69000</v>
      </c>
      <c r="K36" s="4">
        <v>73326.875</v>
      </c>
      <c r="L36" s="4">
        <v>26586.002</v>
      </c>
      <c r="M36" s="4">
        <v>13292.833000000001</v>
      </c>
      <c r="N36" s="4">
        <v>63730.367200000001</v>
      </c>
      <c r="O36" s="4">
        <v>221838.17189999999</v>
      </c>
      <c r="P36" s="4">
        <v>198821.79689999999</v>
      </c>
      <c r="Q36" s="4">
        <v>30935.0625</v>
      </c>
      <c r="R36" s="4">
        <v>48961.246099999997</v>
      </c>
      <c r="S36" s="4">
        <v>73143.25</v>
      </c>
      <c r="T36" s="4">
        <v>19350.0664</v>
      </c>
      <c r="U36" s="4">
        <v>108936.0469</v>
      </c>
      <c r="V36" s="4">
        <v>14845.6201</v>
      </c>
      <c r="W36" s="4">
        <v>294371</v>
      </c>
      <c r="X36" s="4">
        <v>20929.222699999998</v>
      </c>
      <c r="Y36" s="4">
        <v>210179.26560000001</v>
      </c>
      <c r="Z36" s="4">
        <v>57649.046900000001</v>
      </c>
      <c r="AA36" s="4">
        <v>19582.328099999999</v>
      </c>
      <c r="AB36" s="4">
        <v>37301.972699999998</v>
      </c>
      <c r="AC36" s="4">
        <v>15384.9053</v>
      </c>
      <c r="AD36" s="4">
        <v>40635.066400000003</v>
      </c>
      <c r="AE36" s="4">
        <v>567542.9375</v>
      </c>
      <c r="AF36" s="4">
        <v>955457.875</v>
      </c>
      <c r="AG36" s="4">
        <v>60537.5</v>
      </c>
      <c r="AH36" s="4">
        <v>423600</v>
      </c>
      <c r="AI36" s="4">
        <v>49220</v>
      </c>
      <c r="AJ36" s="4">
        <v>376607.46879999997</v>
      </c>
      <c r="AK36" s="4">
        <v>47040</v>
      </c>
      <c r="AL36" s="4">
        <v>11191.2119</v>
      </c>
      <c r="AM36" s="4">
        <v>63300.386700000003</v>
      </c>
      <c r="AN36" s="4">
        <v>151982.07810000001</v>
      </c>
      <c r="AO36" s="4">
        <v>26031.25</v>
      </c>
      <c r="AP36" s="4">
        <v>45903.8125</v>
      </c>
      <c r="AQ36" s="4">
        <v>37994.4375</v>
      </c>
      <c r="AR36" s="4">
        <v>13239.6826</v>
      </c>
      <c r="AS36" s="4">
        <v>87057.476599999995</v>
      </c>
      <c r="AT36" s="4">
        <v>6649820</v>
      </c>
      <c r="AU36" s="295"/>
      <c r="AV36" s="295"/>
      <c r="AW36" s="295"/>
      <c r="AX36" s="295"/>
      <c r="AY36" s="295"/>
      <c r="AZ36" s="295"/>
      <c r="BA36" s="295"/>
      <c r="BB36" s="295"/>
    </row>
    <row r="37" spans="1:54" s="291" customFormat="1">
      <c r="A37" s="283">
        <v>36</v>
      </c>
      <c r="B37" s="3">
        <v>40752</v>
      </c>
      <c r="C37" s="4">
        <v>343392.5</v>
      </c>
      <c r="D37" s="4">
        <v>67142.789099999995</v>
      </c>
      <c r="E37" s="4">
        <v>332138.65629999997</v>
      </c>
      <c r="F37" s="4">
        <v>89250.25</v>
      </c>
      <c r="G37" s="4">
        <v>14245</v>
      </c>
      <c r="H37" s="4">
        <v>167038.95310000001</v>
      </c>
      <c r="I37" s="4">
        <v>198919.4375</v>
      </c>
      <c r="J37" s="4">
        <v>82000</v>
      </c>
      <c r="K37" s="4">
        <v>96166.390599999999</v>
      </c>
      <c r="L37" s="4">
        <v>27496.482400000001</v>
      </c>
      <c r="M37" s="4">
        <v>13863.6914</v>
      </c>
      <c r="N37" s="4">
        <v>80071.484400000001</v>
      </c>
      <c r="O37" s="4">
        <v>238758.0313</v>
      </c>
      <c r="P37" s="4">
        <v>222410.82810000001</v>
      </c>
      <c r="Q37" s="4">
        <v>33991.148399999998</v>
      </c>
      <c r="R37" s="4">
        <v>49619.328099999999</v>
      </c>
      <c r="S37" s="4">
        <v>82651.875</v>
      </c>
      <c r="T37" s="4">
        <v>20678.8262</v>
      </c>
      <c r="U37" s="4">
        <v>117488.27340000001</v>
      </c>
      <c r="V37" s="4">
        <v>19207.044900000001</v>
      </c>
      <c r="W37" s="4">
        <v>337449.6875</v>
      </c>
      <c r="X37" s="4">
        <v>24186.041000000001</v>
      </c>
      <c r="Y37" s="4">
        <v>232538.76560000001</v>
      </c>
      <c r="Z37" s="4">
        <v>68176.265599999999</v>
      </c>
      <c r="AA37" s="4">
        <v>20956.525399999999</v>
      </c>
      <c r="AB37" s="4">
        <v>43853.960899999998</v>
      </c>
      <c r="AC37" s="4">
        <v>18191.6113</v>
      </c>
      <c r="AD37" s="4">
        <v>45493.609400000001</v>
      </c>
      <c r="AE37" s="4">
        <v>610689.4375</v>
      </c>
      <c r="AF37" s="4">
        <v>990470.75</v>
      </c>
      <c r="AG37" s="4">
        <v>62350</v>
      </c>
      <c r="AH37" s="4">
        <v>457200</v>
      </c>
      <c r="AI37" s="4">
        <v>53360</v>
      </c>
      <c r="AJ37" s="4">
        <v>429216.6875</v>
      </c>
      <c r="AK37" s="4">
        <v>55920</v>
      </c>
      <c r="AL37" s="4">
        <v>11599.6494</v>
      </c>
      <c r="AM37" s="4">
        <v>61663.308599999997</v>
      </c>
      <c r="AN37" s="4">
        <v>156572.14060000001</v>
      </c>
      <c r="AO37" s="4">
        <v>26031.25</v>
      </c>
      <c r="AP37" s="4">
        <v>54510.777300000002</v>
      </c>
      <c r="AQ37" s="4">
        <v>40660.714800000002</v>
      </c>
      <c r="AR37" s="4">
        <v>13452.084000000001</v>
      </c>
      <c r="AS37" s="4">
        <v>88798.625</v>
      </c>
      <c r="AT37" s="4">
        <v>7245782.5</v>
      </c>
      <c r="AU37" s="295"/>
      <c r="AV37" s="295"/>
      <c r="AW37" s="295"/>
      <c r="AX37" s="295"/>
      <c r="AY37" s="295"/>
      <c r="AZ37" s="295"/>
      <c r="BA37" s="295"/>
      <c r="BB37" s="295"/>
    </row>
    <row r="38" spans="1:54" s="291" customFormat="1">
      <c r="A38" s="283">
        <v>37</v>
      </c>
      <c r="B38" s="3">
        <v>40783</v>
      </c>
      <c r="C38" s="4">
        <v>337446.3125</v>
      </c>
      <c r="D38" s="4">
        <v>67142.789099999995</v>
      </c>
      <c r="E38" s="4">
        <v>305414.875</v>
      </c>
      <c r="F38" s="4">
        <v>97363.906300000002</v>
      </c>
      <c r="G38" s="4">
        <v>13783</v>
      </c>
      <c r="H38" s="4">
        <v>154890.67189999999</v>
      </c>
      <c r="I38" s="4">
        <v>171744.64060000001</v>
      </c>
      <c r="J38" s="4">
        <v>81000</v>
      </c>
      <c r="K38" s="4">
        <v>105783.0313</v>
      </c>
      <c r="L38" s="4">
        <v>27860.6738</v>
      </c>
      <c r="M38" s="4">
        <v>11988.015600000001</v>
      </c>
      <c r="N38" s="4">
        <v>81705.601599999995</v>
      </c>
      <c r="O38" s="4">
        <v>236878.04689999999</v>
      </c>
      <c r="P38" s="4">
        <v>230273.8438</v>
      </c>
      <c r="Q38" s="4">
        <v>27317.656299999999</v>
      </c>
      <c r="R38" s="4">
        <v>48434.781300000002</v>
      </c>
      <c r="S38" s="4">
        <v>79360.429699999993</v>
      </c>
      <c r="T38" s="4">
        <v>18602.6387</v>
      </c>
      <c r="U38" s="4">
        <v>98485.828099999999</v>
      </c>
      <c r="V38" s="4">
        <v>18955.425800000001</v>
      </c>
      <c r="W38" s="4">
        <v>305140.6875</v>
      </c>
      <c r="X38" s="4">
        <v>23875.962899999999</v>
      </c>
      <c r="Y38" s="4">
        <v>213533.20310000001</v>
      </c>
      <c r="Z38" s="4">
        <v>68677.5625</v>
      </c>
      <c r="AA38" s="4">
        <v>21471.849600000001</v>
      </c>
      <c r="AB38" s="4">
        <v>41892.804700000001</v>
      </c>
      <c r="AC38" s="4">
        <v>17775.8027</v>
      </c>
      <c r="AD38" s="4">
        <v>41739.281300000002</v>
      </c>
      <c r="AE38" s="4">
        <v>580997.4375</v>
      </c>
      <c r="AF38" s="4">
        <v>939091.875</v>
      </c>
      <c r="AG38" s="4">
        <v>64162.5</v>
      </c>
      <c r="AH38" s="4">
        <v>400800</v>
      </c>
      <c r="AI38" s="4">
        <v>53130</v>
      </c>
      <c r="AJ38" s="4">
        <v>403769.0625</v>
      </c>
      <c r="AK38" s="4">
        <v>59040</v>
      </c>
      <c r="AL38" s="4">
        <v>9802.5215000000007</v>
      </c>
      <c r="AM38" s="4">
        <v>55660.683599999997</v>
      </c>
      <c r="AN38" s="4">
        <v>136681.875</v>
      </c>
      <c r="AO38" s="4">
        <v>24281.25</v>
      </c>
      <c r="AP38" s="4">
        <v>54032.613299999997</v>
      </c>
      <c r="AQ38" s="4">
        <v>41993.929700000001</v>
      </c>
      <c r="AR38" s="4">
        <v>13806.0859</v>
      </c>
      <c r="AS38" s="4">
        <v>75304.718800000002</v>
      </c>
      <c r="AT38" s="4">
        <v>6817823.5</v>
      </c>
      <c r="AU38" s="295"/>
      <c r="AV38" s="295"/>
      <c r="AW38" s="295"/>
      <c r="AX38" s="295"/>
      <c r="AY38" s="295"/>
      <c r="AZ38" s="295"/>
      <c r="BA38" s="295"/>
      <c r="BB38" s="295"/>
    </row>
    <row r="39" spans="1:54" s="291" customFormat="1">
      <c r="A39" s="283">
        <v>38</v>
      </c>
      <c r="B39" s="3">
        <v>40814</v>
      </c>
      <c r="C39" s="4">
        <v>380556.1875</v>
      </c>
      <c r="D39" s="4">
        <v>56428.515599999999</v>
      </c>
      <c r="E39" s="4">
        <v>269146.84379999997</v>
      </c>
      <c r="F39" s="4">
        <v>98909.367199999993</v>
      </c>
      <c r="G39" s="4">
        <v>12705</v>
      </c>
      <c r="H39" s="4">
        <v>121482.875</v>
      </c>
      <c r="I39" s="4">
        <v>142395.875</v>
      </c>
      <c r="J39" s="4">
        <v>73500</v>
      </c>
      <c r="K39" s="4">
        <v>90556.679699999993</v>
      </c>
      <c r="L39" s="4">
        <v>28224.8652</v>
      </c>
      <c r="M39" s="4">
        <v>9623.0321999999996</v>
      </c>
      <c r="N39" s="4">
        <v>74624.445300000007</v>
      </c>
      <c r="O39" s="4">
        <v>201158.3438</v>
      </c>
      <c r="P39" s="4">
        <v>215671.10939999999</v>
      </c>
      <c r="Q39" s="4">
        <v>24323.9414</v>
      </c>
      <c r="R39" s="4">
        <v>44486.292999999998</v>
      </c>
      <c r="S39" s="4">
        <v>69120.375</v>
      </c>
      <c r="T39" s="4">
        <v>14035.026400000001</v>
      </c>
      <c r="U39" s="4">
        <v>71514.601599999995</v>
      </c>
      <c r="V39" s="4">
        <v>13923.011699999999</v>
      </c>
      <c r="W39" s="4">
        <v>280011.4375</v>
      </c>
      <c r="X39" s="4">
        <v>16906.609400000001</v>
      </c>
      <c r="Y39" s="4">
        <v>172168.125</v>
      </c>
      <c r="Z39" s="4">
        <v>65168.488299999997</v>
      </c>
      <c r="AA39" s="4">
        <v>18723.453099999999</v>
      </c>
      <c r="AB39" s="4">
        <v>33716.015599999999</v>
      </c>
      <c r="AC39" s="4">
        <v>15073.0488</v>
      </c>
      <c r="AD39" s="4">
        <v>31594.523399999998</v>
      </c>
      <c r="AE39" s="4">
        <v>463137.96879999997</v>
      </c>
      <c r="AF39" s="4">
        <v>742139.4375</v>
      </c>
      <c r="AG39" s="4">
        <v>61625</v>
      </c>
      <c r="AH39" s="4">
        <v>314400</v>
      </c>
      <c r="AI39" s="4">
        <v>50140</v>
      </c>
      <c r="AJ39" s="4">
        <v>359659.84379999997</v>
      </c>
      <c r="AK39" s="4">
        <v>52320</v>
      </c>
      <c r="AL39" s="4">
        <v>7433.5785999999998</v>
      </c>
      <c r="AM39" s="4">
        <v>43655.4375</v>
      </c>
      <c r="AN39" s="4">
        <v>103531.41409999999</v>
      </c>
      <c r="AO39" s="4">
        <v>20300</v>
      </c>
      <c r="AP39" s="4">
        <v>49490.046900000001</v>
      </c>
      <c r="AQ39" s="4">
        <v>36328.082000000002</v>
      </c>
      <c r="AR39" s="4">
        <v>10407.665000000001</v>
      </c>
      <c r="AS39" s="4">
        <v>62246.093800000002</v>
      </c>
      <c r="AT39" s="4">
        <v>5806921.5</v>
      </c>
      <c r="AU39" s="295"/>
      <c r="AV39" s="295"/>
      <c r="AW39" s="295"/>
      <c r="AX39" s="295"/>
      <c r="AY39" s="295"/>
      <c r="AZ39" s="295"/>
      <c r="BA39" s="295"/>
      <c r="BB39" s="295"/>
    </row>
    <row r="40" spans="1:54" s="291" customFormat="1">
      <c r="A40" s="283">
        <v>39</v>
      </c>
      <c r="B40" s="3">
        <v>40844</v>
      </c>
      <c r="C40" s="4">
        <v>387988.9375</v>
      </c>
      <c r="D40" s="4">
        <v>54642.800799999997</v>
      </c>
      <c r="E40" s="4">
        <v>285372</v>
      </c>
      <c r="F40" s="4">
        <v>104318.47659999999</v>
      </c>
      <c r="G40" s="4">
        <v>12628</v>
      </c>
      <c r="H40" s="4">
        <v>121482.875</v>
      </c>
      <c r="I40" s="4">
        <v>170657.6563</v>
      </c>
      <c r="J40" s="4">
        <v>75000</v>
      </c>
      <c r="K40" s="4">
        <v>88553.218800000002</v>
      </c>
      <c r="L40" s="4">
        <v>28953.248</v>
      </c>
      <c r="M40" s="4">
        <v>9623.0321999999996</v>
      </c>
      <c r="N40" s="4">
        <v>70811.523400000005</v>
      </c>
      <c r="O40" s="4">
        <v>227478.125</v>
      </c>
      <c r="P40" s="4">
        <v>211177.95310000001</v>
      </c>
      <c r="Q40" s="4">
        <v>23201.2988</v>
      </c>
      <c r="R40" s="4">
        <v>44223.058599999997</v>
      </c>
      <c r="S40" s="4">
        <v>78263.281300000002</v>
      </c>
      <c r="T40" s="4">
        <v>13785.8848</v>
      </c>
      <c r="U40" s="4">
        <v>78468.171900000001</v>
      </c>
      <c r="V40" s="4">
        <v>15600.482400000001</v>
      </c>
      <c r="W40" s="4">
        <v>296764.25</v>
      </c>
      <c r="X40" s="4">
        <v>18147.462899999999</v>
      </c>
      <c r="Y40" s="4">
        <v>169932.1875</v>
      </c>
      <c r="Z40" s="4">
        <v>57147.75</v>
      </c>
      <c r="AA40" s="4">
        <v>17349.2559</v>
      </c>
      <c r="AB40" s="4">
        <v>34372.074200000003</v>
      </c>
      <c r="AC40" s="4">
        <v>15073.0488</v>
      </c>
      <c r="AD40" s="4">
        <v>23640.656299999999</v>
      </c>
      <c r="AE40" s="4">
        <v>534517.625</v>
      </c>
      <c r="AF40" s="4">
        <v>874027.6875</v>
      </c>
      <c r="AG40" s="4">
        <v>59812.5</v>
      </c>
      <c r="AH40" s="4">
        <v>378000</v>
      </c>
      <c r="AI40" s="4">
        <v>54050</v>
      </c>
      <c r="AJ40" s="4">
        <v>398696.59379999997</v>
      </c>
      <c r="AK40" s="4">
        <v>49920</v>
      </c>
      <c r="AL40" s="4">
        <v>6861.7646000000004</v>
      </c>
      <c r="AM40" s="4">
        <v>42345.773399999998</v>
      </c>
      <c r="AN40" s="4">
        <v>118831.625</v>
      </c>
      <c r="AO40" s="4">
        <v>20300</v>
      </c>
      <c r="AP40" s="4">
        <v>50685.457000000002</v>
      </c>
      <c r="AQ40" s="4">
        <v>32928.574200000003</v>
      </c>
      <c r="AR40" s="4">
        <v>10549.265600000001</v>
      </c>
      <c r="AS40" s="4">
        <v>59634.371099999997</v>
      </c>
      <c r="AT40" s="4">
        <v>6348574.5</v>
      </c>
      <c r="AU40" s="295"/>
      <c r="AV40" s="295"/>
      <c r="AW40" s="295"/>
      <c r="AX40" s="295"/>
      <c r="AY40" s="295"/>
      <c r="AZ40" s="295"/>
      <c r="BA40" s="295"/>
      <c r="BB40" s="295"/>
    </row>
    <row r="41" spans="1:54" s="291" customFormat="1">
      <c r="A41" s="283">
        <v>40</v>
      </c>
      <c r="B41" s="3">
        <v>40875</v>
      </c>
      <c r="C41" s="4">
        <v>414746.8125</v>
      </c>
      <c r="D41" s="4">
        <v>61428.511700000003</v>
      </c>
      <c r="E41" s="4">
        <v>276782.21879999997</v>
      </c>
      <c r="F41" s="4">
        <v>115909.41409999999</v>
      </c>
      <c r="G41" s="4">
        <v>13475</v>
      </c>
      <c r="H41" s="4">
        <v>119660.63280000001</v>
      </c>
      <c r="I41" s="4">
        <v>147830.82810000001</v>
      </c>
      <c r="J41" s="4">
        <v>78000</v>
      </c>
      <c r="K41" s="4">
        <v>98971.242199999993</v>
      </c>
      <c r="L41" s="4">
        <v>34051.933599999997</v>
      </c>
      <c r="M41" s="4">
        <v>9786.1347999999998</v>
      </c>
      <c r="N41" s="4">
        <v>81160.898400000005</v>
      </c>
      <c r="O41" s="4">
        <v>248157.95310000001</v>
      </c>
      <c r="P41" s="4">
        <v>224657.4063</v>
      </c>
      <c r="Q41" s="4">
        <v>24698.154299999998</v>
      </c>
      <c r="R41" s="4">
        <v>46723.769500000002</v>
      </c>
      <c r="S41" s="4">
        <v>76068.984400000001</v>
      </c>
      <c r="T41" s="4">
        <v>15779.0244</v>
      </c>
      <c r="U41" s="4">
        <v>79285.546900000001</v>
      </c>
      <c r="V41" s="4">
        <v>15432.7363</v>
      </c>
      <c r="W41" s="4">
        <v>280011.4375</v>
      </c>
      <c r="X41" s="4">
        <v>18767.8887</v>
      </c>
      <c r="Y41" s="4">
        <v>163224.3438</v>
      </c>
      <c r="Z41" s="4">
        <v>59654.230499999998</v>
      </c>
      <c r="AA41" s="4">
        <v>18208.1289</v>
      </c>
      <c r="AB41" s="4">
        <v>34385.816400000003</v>
      </c>
      <c r="AC41" s="4">
        <v>16112.569299999999</v>
      </c>
      <c r="AD41" s="4">
        <v>23640.656299999999</v>
      </c>
      <c r="AE41" s="4">
        <v>516257.71879999997</v>
      </c>
      <c r="AF41" s="4">
        <v>874027.6875</v>
      </c>
      <c r="AG41" s="4">
        <v>61987.5</v>
      </c>
      <c r="AH41" s="4">
        <v>378000</v>
      </c>
      <c r="AI41" s="4">
        <v>56580</v>
      </c>
      <c r="AJ41" s="4">
        <v>368158.15629999997</v>
      </c>
      <c r="AK41" s="4">
        <v>54480</v>
      </c>
      <c r="AL41" s="4">
        <v>6535.0141999999996</v>
      </c>
      <c r="AM41" s="4">
        <v>41472.667999999998</v>
      </c>
      <c r="AN41" s="4">
        <v>124951.71090000001</v>
      </c>
      <c r="AO41" s="4">
        <v>22312.5</v>
      </c>
      <c r="AP41" s="4">
        <v>54988.941400000003</v>
      </c>
      <c r="AQ41" s="4">
        <v>33328.515599999999</v>
      </c>
      <c r="AR41" s="4">
        <v>12956.4805</v>
      </c>
      <c r="AS41" s="4">
        <v>58763.796900000001</v>
      </c>
      <c r="AT41" s="4">
        <v>6397798</v>
      </c>
      <c r="AU41" s="295"/>
      <c r="AV41" s="295"/>
      <c r="AW41" s="295"/>
      <c r="AX41" s="295"/>
      <c r="AY41" s="295"/>
      <c r="AZ41" s="295"/>
      <c r="BA41" s="295"/>
      <c r="BB41" s="295"/>
    </row>
    <row r="42" spans="1:54" s="291" customFormat="1">
      <c r="A42" s="283">
        <v>41</v>
      </c>
      <c r="B42" s="3">
        <v>40905</v>
      </c>
      <c r="C42" s="4">
        <v>417719.90629999997</v>
      </c>
      <c r="D42" s="4">
        <v>64285.648399999998</v>
      </c>
      <c r="E42" s="4">
        <v>293007.375</v>
      </c>
      <c r="F42" s="4">
        <v>126727.625</v>
      </c>
      <c r="G42" s="4">
        <v>14014.001</v>
      </c>
      <c r="H42" s="4">
        <v>133631.1563</v>
      </c>
      <c r="I42" s="4">
        <v>148374.32810000001</v>
      </c>
      <c r="J42" s="4">
        <v>90000</v>
      </c>
      <c r="K42" s="4">
        <v>96166.390599999999</v>
      </c>
      <c r="L42" s="4">
        <v>33869.839800000002</v>
      </c>
      <c r="M42" s="4">
        <v>10438.543900000001</v>
      </c>
      <c r="N42" s="4">
        <v>82250.304699999993</v>
      </c>
      <c r="O42" s="4">
        <v>248157.95310000001</v>
      </c>
      <c r="P42" s="4">
        <v>232520.4063</v>
      </c>
      <c r="Q42" s="4">
        <v>27068.1816</v>
      </c>
      <c r="R42" s="4">
        <v>50672.257799999999</v>
      </c>
      <c r="S42" s="4">
        <v>83383.304699999993</v>
      </c>
      <c r="T42" s="4">
        <v>15695.9766</v>
      </c>
      <c r="U42" s="4">
        <v>83372.429699999993</v>
      </c>
      <c r="V42" s="4">
        <v>15181.114299999999</v>
      </c>
      <c r="W42" s="4">
        <v>291977.75</v>
      </c>
      <c r="X42" s="4">
        <v>20921.583999999999</v>
      </c>
      <c r="Y42" s="4">
        <v>166578.25</v>
      </c>
      <c r="Z42" s="4">
        <v>61659.417999999998</v>
      </c>
      <c r="AA42" s="4">
        <v>18379.904299999998</v>
      </c>
      <c r="AB42" s="4">
        <v>36682.515599999999</v>
      </c>
      <c r="AC42" s="4">
        <v>16840.234400000001</v>
      </c>
      <c r="AD42" s="4">
        <v>25629.125</v>
      </c>
      <c r="AE42" s="4">
        <v>559417.5625</v>
      </c>
      <c r="AF42" s="4">
        <v>908303.25</v>
      </c>
      <c r="AG42" s="4">
        <v>63800</v>
      </c>
      <c r="AH42" s="4">
        <v>375600</v>
      </c>
      <c r="AI42" s="4">
        <v>59340</v>
      </c>
      <c r="AJ42" s="4">
        <v>395303.4375</v>
      </c>
      <c r="AK42" s="4">
        <v>57360</v>
      </c>
      <c r="AL42" s="4">
        <v>6780.0771000000004</v>
      </c>
      <c r="AM42" s="4">
        <v>43655.4375</v>
      </c>
      <c r="AN42" s="4">
        <v>119341.63280000001</v>
      </c>
      <c r="AO42" s="4">
        <v>25812.5</v>
      </c>
      <c r="AP42" s="4">
        <v>55945.269500000002</v>
      </c>
      <c r="AQ42" s="4">
        <v>35661.511700000003</v>
      </c>
      <c r="AR42" s="4">
        <v>13947.6875</v>
      </c>
      <c r="AS42" s="4">
        <v>68775.406300000002</v>
      </c>
      <c r="AT42" s="4">
        <v>6591087.5</v>
      </c>
      <c r="AU42" s="295"/>
      <c r="AV42" s="295"/>
      <c r="AW42" s="295"/>
      <c r="AX42" s="295"/>
      <c r="AY42" s="295"/>
      <c r="AZ42" s="295"/>
      <c r="BA42" s="295"/>
      <c r="BB42" s="295"/>
    </row>
    <row r="43" spans="1:54" s="291" customFormat="1">
      <c r="A43" s="283">
        <v>42</v>
      </c>
      <c r="B43" s="3">
        <v>40936</v>
      </c>
      <c r="C43" s="4">
        <v>448937.40629999997</v>
      </c>
      <c r="D43" s="4">
        <v>75357.070300000007</v>
      </c>
      <c r="E43" s="4">
        <v>293007.375</v>
      </c>
      <c r="F43" s="4">
        <v>118613.9688</v>
      </c>
      <c r="G43" s="4">
        <v>14399.001</v>
      </c>
      <c r="H43" s="4">
        <v>134846</v>
      </c>
      <c r="I43" s="4">
        <v>160331.23439999999</v>
      </c>
      <c r="J43" s="4">
        <v>86500</v>
      </c>
      <c r="K43" s="4">
        <v>93762.226599999995</v>
      </c>
      <c r="L43" s="4">
        <v>34416.125</v>
      </c>
      <c r="M43" s="4">
        <v>10683.1973</v>
      </c>
      <c r="N43" s="4">
        <v>85518.531300000002</v>
      </c>
      <c r="O43" s="4">
        <v>263197.8125</v>
      </c>
      <c r="P43" s="4">
        <v>262849.15629999997</v>
      </c>
      <c r="Q43" s="4">
        <v>26693.966799999998</v>
      </c>
      <c r="R43" s="4">
        <v>48171.546900000001</v>
      </c>
      <c r="S43" s="4">
        <v>81554.726599999995</v>
      </c>
      <c r="T43" s="4">
        <v>15197.6914</v>
      </c>
      <c r="U43" s="4">
        <v>93589.640599999999</v>
      </c>
      <c r="V43" s="4">
        <v>14677.874</v>
      </c>
      <c r="W43" s="4">
        <v>308730.5625</v>
      </c>
      <c r="X43" s="4">
        <v>22651.9395</v>
      </c>
      <c r="Y43" s="4">
        <v>171050.1563</v>
      </c>
      <c r="Z43" s="4">
        <v>64165.898399999998</v>
      </c>
      <c r="AA43" s="4">
        <v>19410.5527</v>
      </c>
      <c r="AB43" s="4">
        <v>37993.1875</v>
      </c>
      <c r="AC43" s="4">
        <v>17048.136699999999</v>
      </c>
      <c r="AD43" s="4">
        <v>31373.581999999999</v>
      </c>
      <c r="AE43" s="4">
        <v>587637.4375</v>
      </c>
      <c r="AF43" s="4">
        <v>971141.875</v>
      </c>
      <c r="AG43" s="4">
        <v>63800</v>
      </c>
      <c r="AH43" s="4">
        <v>415200</v>
      </c>
      <c r="AI43" s="4">
        <v>59110</v>
      </c>
      <c r="AJ43" s="4">
        <v>410595.1875</v>
      </c>
      <c r="AK43" s="4">
        <v>61440</v>
      </c>
      <c r="AL43" s="4">
        <v>7433.5785999999998</v>
      </c>
      <c r="AM43" s="4">
        <v>51731.695299999999</v>
      </c>
      <c r="AN43" s="4">
        <v>131071.78909999999</v>
      </c>
      <c r="AO43" s="4">
        <v>25812.5</v>
      </c>
      <c r="AP43" s="4">
        <v>63595.906300000002</v>
      </c>
      <c r="AQ43" s="4">
        <v>34661.656300000002</v>
      </c>
      <c r="AR43" s="4">
        <v>15009.694299999999</v>
      </c>
      <c r="AS43" s="4">
        <v>72692.992199999993</v>
      </c>
      <c r="AT43" s="4">
        <v>6995205.5</v>
      </c>
      <c r="AU43" s="295"/>
      <c r="AV43" s="295"/>
      <c r="AW43" s="295"/>
      <c r="AX43" s="295"/>
      <c r="AY43" s="295"/>
      <c r="AZ43" s="295"/>
      <c r="BA43" s="295"/>
      <c r="BB43" s="295"/>
    </row>
    <row r="44" spans="1:54" s="291" customFormat="1">
      <c r="A44" s="283">
        <v>43</v>
      </c>
      <c r="B44" s="3">
        <v>40967</v>
      </c>
      <c r="C44" s="4">
        <v>475695.25</v>
      </c>
      <c r="D44" s="4">
        <v>75357.070300000007</v>
      </c>
      <c r="E44" s="4">
        <v>345500.5625</v>
      </c>
      <c r="F44" s="4">
        <v>116295.7813</v>
      </c>
      <c r="G44" s="4">
        <v>15015</v>
      </c>
      <c r="H44" s="4">
        <v>153372.125</v>
      </c>
      <c r="I44" s="4">
        <v>176092.60939999999</v>
      </c>
      <c r="J44" s="4">
        <v>88500</v>
      </c>
      <c r="K44" s="4">
        <v>123012.83590000001</v>
      </c>
      <c r="L44" s="4">
        <v>33323.550799999997</v>
      </c>
      <c r="M44" s="4">
        <v>11498.708000000001</v>
      </c>
      <c r="N44" s="4">
        <v>89331.453099999999</v>
      </c>
      <c r="O44" s="4">
        <v>272597.75</v>
      </c>
      <c r="P44" s="4">
        <v>297671.0625</v>
      </c>
      <c r="Q44" s="4">
        <v>28689.777300000002</v>
      </c>
      <c r="R44" s="4">
        <v>49750.941400000003</v>
      </c>
      <c r="S44" s="4">
        <v>78994.710900000005</v>
      </c>
      <c r="T44" s="4">
        <v>17938.2598</v>
      </c>
      <c r="U44" s="4">
        <v>96859.140599999999</v>
      </c>
      <c r="V44" s="4">
        <v>16355.3457</v>
      </c>
      <c r="W44" s="4">
        <v>350612.625</v>
      </c>
      <c r="X44" s="4">
        <v>22494.6348</v>
      </c>
      <c r="Y44" s="4">
        <v>194527.625</v>
      </c>
      <c r="Z44" s="4">
        <v>69178.859400000001</v>
      </c>
      <c r="AA44" s="4">
        <v>20269.425800000001</v>
      </c>
      <c r="AB44" s="4">
        <v>41277.957000000002</v>
      </c>
      <c r="AC44" s="4">
        <v>16840.234400000001</v>
      </c>
      <c r="AD44" s="4">
        <v>30931.7012</v>
      </c>
      <c r="AE44" s="4">
        <v>612537.3125</v>
      </c>
      <c r="AF44" s="4">
        <v>1036836.75</v>
      </c>
      <c r="AG44" s="4">
        <v>61625</v>
      </c>
      <c r="AH44" s="4">
        <v>428400</v>
      </c>
      <c r="AI44" s="4">
        <v>69230</v>
      </c>
      <c r="AJ44" s="4">
        <v>441135.3125</v>
      </c>
      <c r="AK44" s="4">
        <v>72960</v>
      </c>
      <c r="AL44" s="4">
        <v>7270.2030999999997</v>
      </c>
      <c r="AM44" s="4">
        <v>56752.070299999999</v>
      </c>
      <c r="AN44" s="4">
        <v>155042.125</v>
      </c>
      <c r="AO44" s="4">
        <v>26250</v>
      </c>
      <c r="AP44" s="4">
        <v>66225.8125</v>
      </c>
      <c r="AQ44" s="4">
        <v>37994.507799999999</v>
      </c>
      <c r="AR44" s="4">
        <v>14301.6895</v>
      </c>
      <c r="AS44" s="4">
        <v>75740.007800000007</v>
      </c>
      <c r="AT44" s="4">
        <v>7561663</v>
      </c>
      <c r="AU44" s="295"/>
      <c r="AV44" s="295"/>
      <c r="AW44" s="295"/>
      <c r="AX44" s="295"/>
      <c r="AY44" s="295"/>
      <c r="AZ44" s="295"/>
      <c r="BA44" s="295"/>
      <c r="BB44" s="295"/>
    </row>
    <row r="45" spans="1:54" s="291" customFormat="1">
      <c r="A45" s="283">
        <v>44</v>
      </c>
      <c r="B45" s="3">
        <v>40996</v>
      </c>
      <c r="C45" s="4">
        <v>547049.5625</v>
      </c>
      <c r="D45" s="4">
        <v>83214.203099999999</v>
      </c>
      <c r="E45" s="4">
        <v>353135.9375</v>
      </c>
      <c r="F45" s="4">
        <v>134068.5625</v>
      </c>
      <c r="G45" s="4">
        <v>16632</v>
      </c>
      <c r="H45" s="4">
        <v>164001.875</v>
      </c>
      <c r="I45" s="4">
        <v>165222.70310000001</v>
      </c>
      <c r="J45" s="4">
        <v>102000</v>
      </c>
      <c r="K45" s="4">
        <v>131427.39060000001</v>
      </c>
      <c r="L45" s="4">
        <v>38969.039100000002</v>
      </c>
      <c r="M45" s="4">
        <v>11417.1572</v>
      </c>
      <c r="N45" s="4">
        <v>100225.53909999999</v>
      </c>
      <c r="O45" s="4">
        <v>288424.59379999997</v>
      </c>
      <c r="P45" s="4">
        <v>294301.1875</v>
      </c>
      <c r="Q45" s="4">
        <v>32431.921900000001</v>
      </c>
      <c r="R45" s="4">
        <v>48961.246099999997</v>
      </c>
      <c r="S45" s="4">
        <v>89966.203099999999</v>
      </c>
      <c r="T45" s="4">
        <v>17626.847699999998</v>
      </c>
      <c r="U45" s="4">
        <v>95633.078099999999</v>
      </c>
      <c r="V45" s="4">
        <v>14845.6201</v>
      </c>
      <c r="W45" s="4">
        <v>368562.0625</v>
      </c>
      <c r="X45" s="4">
        <v>22345.2461</v>
      </c>
      <c r="Y45" s="4">
        <v>195645.60939999999</v>
      </c>
      <c r="Z45" s="4">
        <v>69178.859400000001</v>
      </c>
      <c r="AA45" s="4">
        <v>19582.328099999999</v>
      </c>
      <c r="AB45" s="4">
        <v>46974.054700000001</v>
      </c>
      <c r="AC45" s="4">
        <v>16528.377</v>
      </c>
      <c r="AD45" s="4">
        <v>33362.050799999997</v>
      </c>
      <c r="AE45" s="4">
        <v>579337.4375</v>
      </c>
      <c r="AF45" s="4">
        <v>1011130.0625</v>
      </c>
      <c r="AG45" s="4">
        <v>59812.5</v>
      </c>
      <c r="AH45" s="4">
        <v>426000</v>
      </c>
      <c r="AI45" s="4">
        <v>70380</v>
      </c>
      <c r="AJ45" s="4">
        <v>486945.5</v>
      </c>
      <c r="AK45" s="4">
        <v>85920</v>
      </c>
      <c r="AL45" s="4">
        <v>7188.5155999999997</v>
      </c>
      <c r="AM45" s="4">
        <v>56206.375</v>
      </c>
      <c r="AN45" s="4">
        <v>147902.01560000001</v>
      </c>
      <c r="AO45" s="4">
        <v>25812.5</v>
      </c>
      <c r="AP45" s="4">
        <v>67660.304699999993</v>
      </c>
      <c r="AQ45" s="4">
        <v>44660.210899999998</v>
      </c>
      <c r="AR45" s="4">
        <v>14230.8887</v>
      </c>
      <c r="AS45" s="4">
        <v>77045.867199999993</v>
      </c>
      <c r="AT45" s="4">
        <v>7792558</v>
      </c>
      <c r="AU45" s="295"/>
      <c r="AV45" s="295"/>
      <c r="AW45" s="295"/>
      <c r="AX45" s="295"/>
      <c r="AY45" s="295"/>
      <c r="AZ45" s="295"/>
      <c r="BA45" s="295"/>
      <c r="BB45" s="295"/>
    </row>
    <row r="46" spans="1:54" s="291" customFormat="1">
      <c r="A46" s="283">
        <v>45</v>
      </c>
      <c r="B46" s="3">
        <v>41027</v>
      </c>
      <c r="C46" s="4">
        <v>544076.4375</v>
      </c>
      <c r="D46" s="4">
        <v>88571.343800000002</v>
      </c>
      <c r="E46" s="4">
        <v>364589</v>
      </c>
      <c r="F46" s="4">
        <v>142182.2188</v>
      </c>
      <c r="G46" s="4">
        <v>18018</v>
      </c>
      <c r="H46" s="4">
        <v>168557.48439999999</v>
      </c>
      <c r="I46" s="4">
        <v>151091.8125</v>
      </c>
      <c r="J46" s="4">
        <v>103000</v>
      </c>
      <c r="K46" s="4">
        <v>152263.45310000001</v>
      </c>
      <c r="L46" s="4">
        <v>44431.988299999997</v>
      </c>
      <c r="M46" s="4">
        <v>11743.362300000001</v>
      </c>
      <c r="N46" s="4">
        <v>109485.50780000001</v>
      </c>
      <c r="O46" s="4">
        <v>315524.875</v>
      </c>
      <c r="P46" s="4">
        <v>343725.8125</v>
      </c>
      <c r="Q46" s="4">
        <v>30810.3262</v>
      </c>
      <c r="R46" s="4">
        <v>52120.035199999998</v>
      </c>
      <c r="S46" s="4">
        <v>98377.671900000001</v>
      </c>
      <c r="T46" s="4">
        <v>18029.287100000001</v>
      </c>
      <c r="U46" s="4">
        <v>89094.070300000007</v>
      </c>
      <c r="V46" s="4">
        <v>15348.862300000001</v>
      </c>
      <c r="W46" s="4">
        <v>391298.03129999997</v>
      </c>
      <c r="X46" s="4">
        <v>21715.8027</v>
      </c>
      <c r="Y46" s="4">
        <v>201235.48439999999</v>
      </c>
      <c r="Z46" s="4">
        <v>79706.070300000007</v>
      </c>
      <c r="AA46" s="4">
        <v>20097.652300000002</v>
      </c>
      <c r="AB46" s="4">
        <v>51011.8125</v>
      </c>
      <c r="AC46" s="4">
        <v>16840.234400000001</v>
      </c>
      <c r="AD46" s="4">
        <v>34024.871099999997</v>
      </c>
      <c r="AE46" s="4">
        <v>589297.4375</v>
      </c>
      <c r="AF46" s="4">
        <v>1002561.1875</v>
      </c>
      <c r="AG46" s="4">
        <v>60537.5</v>
      </c>
      <c r="AH46" s="4">
        <v>420000</v>
      </c>
      <c r="AI46" s="4">
        <v>75670</v>
      </c>
      <c r="AJ46" s="4">
        <v>526002.125</v>
      </c>
      <c r="AK46" s="4">
        <v>91920</v>
      </c>
      <c r="AL46" s="4">
        <v>6861.7646000000004</v>
      </c>
      <c r="AM46" s="4">
        <v>58389.148399999998</v>
      </c>
      <c r="AN46" s="4">
        <v>137701.875</v>
      </c>
      <c r="AO46" s="4">
        <v>26031.25</v>
      </c>
      <c r="AP46" s="4">
        <v>83487.554699999993</v>
      </c>
      <c r="AQ46" s="4">
        <v>42327.214800000002</v>
      </c>
      <c r="AR46" s="4">
        <v>13593.6855</v>
      </c>
      <c r="AS46" s="4">
        <v>74034.867199999993</v>
      </c>
      <c r="AT46" s="4">
        <v>7995344</v>
      </c>
      <c r="AU46" s="295"/>
      <c r="AV46" s="295"/>
      <c r="AW46" s="295"/>
      <c r="AX46" s="295"/>
      <c r="AY46" s="295"/>
      <c r="AZ46" s="295"/>
      <c r="BA46" s="295"/>
      <c r="BB46" s="295"/>
    </row>
    <row r="47" spans="1:54" s="291" customFormat="1">
      <c r="A47" s="283">
        <v>46</v>
      </c>
      <c r="B47" s="3">
        <v>41057</v>
      </c>
      <c r="C47" s="4">
        <v>532184.0625</v>
      </c>
      <c r="D47" s="4">
        <v>80714.203099999999</v>
      </c>
      <c r="E47" s="4">
        <v>343591.71879999997</v>
      </c>
      <c r="F47" s="4">
        <v>138318.5625</v>
      </c>
      <c r="G47" s="4">
        <v>17864</v>
      </c>
      <c r="H47" s="4">
        <v>171594.5625</v>
      </c>
      <c r="I47" s="4">
        <v>122286.5313</v>
      </c>
      <c r="J47" s="4">
        <v>108000</v>
      </c>
      <c r="K47" s="4">
        <v>178200</v>
      </c>
      <c r="L47" s="4">
        <v>45888.773399999998</v>
      </c>
      <c r="M47" s="4">
        <v>10520.0947</v>
      </c>
      <c r="N47" s="4">
        <v>99136.125</v>
      </c>
      <c r="O47" s="4">
        <v>294231.78129999997</v>
      </c>
      <c r="P47" s="4">
        <v>307671.21879999997</v>
      </c>
      <c r="Q47" s="4">
        <v>26943.4434</v>
      </c>
      <c r="R47" s="4">
        <v>54752.359400000001</v>
      </c>
      <c r="S47" s="4">
        <v>96549.093800000002</v>
      </c>
      <c r="T47" s="4">
        <v>16821.968799999999</v>
      </c>
      <c r="U47" s="4">
        <v>74789.976599999995</v>
      </c>
      <c r="V47" s="4">
        <v>13839.137699999999</v>
      </c>
      <c r="W47" s="4">
        <v>370955.34379999997</v>
      </c>
      <c r="X47" s="4">
        <v>19670.1113</v>
      </c>
      <c r="Y47" s="4">
        <v>167696.23439999999</v>
      </c>
      <c r="Z47" s="4">
        <v>71685.335900000005</v>
      </c>
      <c r="AA47" s="4">
        <v>20269.425800000001</v>
      </c>
      <c r="AB47" s="4">
        <v>47050.484400000001</v>
      </c>
      <c r="AC47" s="4">
        <v>16112.569299999999</v>
      </c>
      <c r="AD47" s="4">
        <v>30489.820299999999</v>
      </c>
      <c r="AE47" s="4">
        <v>521237.71879999997</v>
      </c>
      <c r="AF47" s="4">
        <v>894021.8125</v>
      </c>
      <c r="AG47" s="4">
        <v>60175</v>
      </c>
      <c r="AH47" s="4">
        <v>410400</v>
      </c>
      <c r="AI47" s="4">
        <v>65320</v>
      </c>
      <c r="AJ47" s="4">
        <v>476795.5</v>
      </c>
      <c r="AK47" s="4">
        <v>80160</v>
      </c>
      <c r="AL47" s="4">
        <v>6126.5757000000003</v>
      </c>
      <c r="AM47" s="4">
        <v>46929.597699999998</v>
      </c>
      <c r="AN47" s="4">
        <v>115261.5781</v>
      </c>
      <c r="AO47" s="4">
        <v>25593.75</v>
      </c>
      <c r="AP47" s="4">
        <v>77175.6875</v>
      </c>
      <c r="AQ47" s="4">
        <v>34501.042999999998</v>
      </c>
      <c r="AR47" s="4">
        <v>12248.4756</v>
      </c>
      <c r="AS47" s="4">
        <v>64453.882799999999</v>
      </c>
      <c r="AT47" s="4">
        <v>7329931</v>
      </c>
      <c r="AU47" s="295"/>
      <c r="AV47" s="295"/>
      <c r="AW47" s="295"/>
      <c r="AX47" s="295"/>
      <c r="AY47" s="295"/>
      <c r="AZ47" s="295"/>
      <c r="BA47" s="295"/>
      <c r="BB47" s="295"/>
    </row>
    <row r="48" spans="1:54" s="291" customFormat="1">
      <c r="A48" s="283">
        <v>47</v>
      </c>
      <c r="B48" s="3">
        <v>41088</v>
      </c>
      <c r="C48" s="4">
        <v>548536.0625</v>
      </c>
      <c r="D48" s="4">
        <v>85357.054699999993</v>
      </c>
      <c r="E48" s="4">
        <v>365543.40629999997</v>
      </c>
      <c r="F48" s="4">
        <v>150682.23439999999</v>
      </c>
      <c r="G48" s="4">
        <v>18711</v>
      </c>
      <c r="H48" s="4">
        <v>179187.23439999999</v>
      </c>
      <c r="I48" s="4">
        <v>121743.03909999999</v>
      </c>
      <c r="J48" s="4">
        <v>101000</v>
      </c>
      <c r="K48" s="4">
        <v>175725</v>
      </c>
      <c r="L48" s="4">
        <v>50987.527300000002</v>
      </c>
      <c r="M48" s="4">
        <v>10520.0947</v>
      </c>
      <c r="N48" s="4">
        <v>101314.94530000001</v>
      </c>
      <c r="O48" s="4">
        <v>298103.25</v>
      </c>
      <c r="P48" s="4">
        <v>318900.09379999997</v>
      </c>
      <c r="Q48" s="4">
        <v>26693.966799999998</v>
      </c>
      <c r="R48" s="4">
        <v>60543.476600000002</v>
      </c>
      <c r="S48" s="4">
        <v>90697.632800000007</v>
      </c>
      <c r="T48" s="4">
        <v>15373.1865</v>
      </c>
      <c r="U48" s="4">
        <v>73155.218800000002</v>
      </c>
      <c r="V48" s="4">
        <v>13000.4023</v>
      </c>
      <c r="W48" s="4">
        <v>387708.15629999997</v>
      </c>
      <c r="X48" s="4">
        <v>19985.341799999998</v>
      </c>
      <c r="Y48" s="4">
        <v>179993.9688</v>
      </c>
      <c r="Z48" s="4">
        <v>78202.1875</v>
      </c>
      <c r="AA48" s="4">
        <v>19067.0039</v>
      </c>
      <c r="AB48" s="4">
        <v>50689.492200000001</v>
      </c>
      <c r="AC48" s="4">
        <v>14969.0967</v>
      </c>
      <c r="AD48" s="4">
        <v>34687.691400000003</v>
      </c>
      <c r="AE48" s="4">
        <v>557757.5625</v>
      </c>
      <c r="AF48" s="4">
        <v>922584.75</v>
      </c>
      <c r="AG48" s="4">
        <v>63437.5</v>
      </c>
      <c r="AH48" s="4">
        <v>379200</v>
      </c>
      <c r="AI48" s="4">
        <v>75440</v>
      </c>
      <c r="AJ48" s="4">
        <v>498863.125</v>
      </c>
      <c r="AK48" s="4">
        <v>85440</v>
      </c>
      <c r="AL48" s="4">
        <v>6453.3266999999996</v>
      </c>
      <c r="AM48" s="4">
        <v>47147.875</v>
      </c>
      <c r="AN48" s="4">
        <v>117301.60159999999</v>
      </c>
      <c r="AO48" s="4">
        <v>22968.75</v>
      </c>
      <c r="AP48" s="4">
        <v>82339.859400000001</v>
      </c>
      <c r="AQ48" s="4">
        <v>36737.218800000002</v>
      </c>
      <c r="AR48" s="4">
        <v>11328.070299999999</v>
      </c>
      <c r="AS48" s="4">
        <v>66195.875</v>
      </c>
      <c r="AT48" s="4">
        <v>7541754</v>
      </c>
      <c r="AU48" s="295"/>
      <c r="AV48" s="295"/>
      <c r="AW48" s="295"/>
      <c r="AX48" s="295"/>
      <c r="AY48" s="295"/>
      <c r="AZ48" s="295"/>
      <c r="BA48" s="295"/>
      <c r="BB48" s="295"/>
    </row>
    <row r="49" spans="1:54" s="291" customFormat="1">
      <c r="A49" s="283">
        <v>48</v>
      </c>
      <c r="B49" s="3">
        <v>41118</v>
      </c>
      <c r="C49" s="4">
        <v>594619.0625</v>
      </c>
      <c r="D49" s="4">
        <v>97857.046900000001</v>
      </c>
      <c r="E49" s="4">
        <v>374133.21879999997</v>
      </c>
      <c r="F49" s="4">
        <v>153386.79689999999</v>
      </c>
      <c r="G49" s="4">
        <v>21945</v>
      </c>
      <c r="H49" s="4">
        <v>197409.67189999999</v>
      </c>
      <c r="I49" s="4">
        <v>108699.1406</v>
      </c>
      <c r="J49" s="4">
        <v>112500</v>
      </c>
      <c r="K49" s="4">
        <v>148087.5</v>
      </c>
      <c r="L49" s="4">
        <v>55357.886700000003</v>
      </c>
      <c r="M49" s="4">
        <v>9949.2373000000007</v>
      </c>
      <c r="N49" s="4">
        <v>106761.9844</v>
      </c>
      <c r="O49" s="4">
        <v>257452.8125</v>
      </c>
      <c r="P49" s="4">
        <v>305425.4375</v>
      </c>
      <c r="Q49" s="4">
        <v>29687.6816</v>
      </c>
      <c r="R49" s="4">
        <v>57647.917999999998</v>
      </c>
      <c r="S49" s="4">
        <v>88869.054699999993</v>
      </c>
      <c r="T49" s="4">
        <v>16097.5771</v>
      </c>
      <c r="U49" s="4">
        <v>73972.593800000002</v>
      </c>
      <c r="V49" s="4">
        <v>13419.770500000001</v>
      </c>
      <c r="W49" s="4">
        <v>418820.53129999997</v>
      </c>
      <c r="X49" s="4">
        <v>18883.789100000002</v>
      </c>
      <c r="Y49" s="4">
        <v>183347.875</v>
      </c>
      <c r="Z49" s="4">
        <v>78202.1875</v>
      </c>
      <c r="AA49" s="4">
        <v>19754.101600000002</v>
      </c>
      <c r="AB49" s="4">
        <v>56897.058599999997</v>
      </c>
      <c r="AC49" s="4">
        <v>15177.001</v>
      </c>
      <c r="AD49" s="4">
        <v>39106.507799999999</v>
      </c>
      <c r="AE49" s="4">
        <v>504637.78129999997</v>
      </c>
      <c r="AF49" s="4">
        <v>931153.6875</v>
      </c>
      <c r="AG49" s="4">
        <v>69237.5</v>
      </c>
      <c r="AH49" s="4">
        <v>393600</v>
      </c>
      <c r="AI49" s="4">
        <v>78430</v>
      </c>
      <c r="AJ49" s="4">
        <v>544677.0625</v>
      </c>
      <c r="AK49" s="4">
        <v>79200</v>
      </c>
      <c r="AL49" s="4">
        <v>6453.3266999999996</v>
      </c>
      <c r="AM49" s="4">
        <v>43437.160199999998</v>
      </c>
      <c r="AN49" s="4">
        <v>120361.6406</v>
      </c>
      <c r="AO49" s="4">
        <v>24500</v>
      </c>
      <c r="AP49" s="4">
        <v>84348.148400000005</v>
      </c>
      <c r="AQ49" s="4">
        <v>41209.578099999999</v>
      </c>
      <c r="AR49" s="4">
        <v>10761.666999999999</v>
      </c>
      <c r="AS49" s="4">
        <v>67066.875</v>
      </c>
      <c r="AT49" s="4">
        <v>7860440</v>
      </c>
      <c r="AU49" s="295"/>
      <c r="AV49" s="295"/>
      <c r="AW49" s="295"/>
      <c r="AX49" s="295"/>
      <c r="AY49" s="295"/>
      <c r="AZ49" s="295"/>
      <c r="BA49" s="295"/>
      <c r="BB49" s="295"/>
    </row>
    <row r="50" spans="1:54" s="291" customFormat="1">
      <c r="A50" s="283">
        <v>49</v>
      </c>
      <c r="B50" s="3">
        <v>41149</v>
      </c>
      <c r="C50" s="4">
        <v>645161.6875</v>
      </c>
      <c r="D50" s="4">
        <v>96071.335900000005</v>
      </c>
      <c r="E50" s="4">
        <v>358862.46879999997</v>
      </c>
      <c r="F50" s="4">
        <v>159955</v>
      </c>
      <c r="G50" s="4">
        <v>21367.5</v>
      </c>
      <c r="H50" s="4">
        <v>192854.0625</v>
      </c>
      <c r="I50" s="4">
        <v>122286.5313</v>
      </c>
      <c r="J50" s="4">
        <v>104000</v>
      </c>
      <c r="K50" s="4">
        <v>147262.5</v>
      </c>
      <c r="L50" s="4">
        <v>56814.671900000001</v>
      </c>
      <c r="M50" s="4">
        <v>11172.5039</v>
      </c>
      <c r="N50" s="4">
        <v>114932.5469</v>
      </c>
      <c r="O50" s="4">
        <v>245838.4063</v>
      </c>
      <c r="P50" s="4">
        <v>309917</v>
      </c>
      <c r="Q50" s="4">
        <v>30810.3262</v>
      </c>
      <c r="R50" s="4">
        <v>63175.800799999997</v>
      </c>
      <c r="S50" s="4">
        <v>91429.0625</v>
      </c>
      <c r="T50" s="4">
        <v>16339.04</v>
      </c>
      <c r="U50" s="4">
        <v>76833.414099999995</v>
      </c>
      <c r="V50" s="4">
        <v>14174.632799999999</v>
      </c>
      <c r="W50" s="4">
        <v>404460.96879999997</v>
      </c>
      <c r="X50" s="4">
        <v>19355.882799999999</v>
      </c>
      <c r="Y50" s="4">
        <v>232002.625</v>
      </c>
      <c r="Z50" s="4">
        <v>81209.968800000002</v>
      </c>
      <c r="AA50" s="4">
        <v>19754.101600000002</v>
      </c>
      <c r="AB50" s="4">
        <v>53577.144500000002</v>
      </c>
      <c r="AC50" s="4">
        <v>13825.624</v>
      </c>
      <c r="AD50" s="4">
        <v>37559.921900000001</v>
      </c>
      <c r="AE50" s="4">
        <v>494677.8125</v>
      </c>
      <c r="AF50" s="4">
        <v>942578.875</v>
      </c>
      <c r="AG50" s="4">
        <v>67062.5</v>
      </c>
      <c r="AH50" s="4">
        <v>398400</v>
      </c>
      <c r="AI50" s="4">
        <v>78660</v>
      </c>
      <c r="AJ50" s="4">
        <v>509044</v>
      </c>
      <c r="AK50" s="4">
        <v>88800</v>
      </c>
      <c r="AL50" s="4">
        <v>6535.0141999999996</v>
      </c>
      <c r="AM50" s="4">
        <v>44965.101600000002</v>
      </c>
      <c r="AN50" s="4">
        <v>133621.82810000001</v>
      </c>
      <c r="AO50" s="4">
        <v>25593.75</v>
      </c>
      <c r="AP50" s="4">
        <v>85495.742199999993</v>
      </c>
      <c r="AQ50" s="4">
        <v>43126.300799999997</v>
      </c>
      <c r="AR50" s="4">
        <v>10974.0684</v>
      </c>
      <c r="AS50" s="4">
        <v>74905.867199999993</v>
      </c>
      <c r="AT50" s="4">
        <v>8006816.5</v>
      </c>
      <c r="AU50" s="295"/>
      <c r="AV50" s="295"/>
      <c r="AW50" s="295"/>
      <c r="AX50" s="295"/>
      <c r="AY50" s="295"/>
      <c r="AZ50" s="295"/>
      <c r="BA50" s="295"/>
      <c r="BB50" s="295"/>
    </row>
    <row r="51" spans="1:54" s="291" customFormat="1">
      <c r="A51" s="283">
        <v>50</v>
      </c>
      <c r="B51" s="3">
        <v>41180</v>
      </c>
      <c r="C51" s="4">
        <v>636242.375</v>
      </c>
      <c r="D51" s="4">
        <v>113571.3125</v>
      </c>
      <c r="E51" s="4">
        <v>370315.53129999997</v>
      </c>
      <c r="F51" s="4">
        <v>166136.82810000001</v>
      </c>
      <c r="G51" s="4">
        <v>22715</v>
      </c>
      <c r="H51" s="4">
        <v>189816.98439999999</v>
      </c>
      <c r="I51" s="4">
        <v>106525.1563</v>
      </c>
      <c r="J51" s="4">
        <v>153000</v>
      </c>
      <c r="K51" s="4">
        <v>154275</v>
      </c>
      <c r="L51" s="4">
        <v>59728.246099999997</v>
      </c>
      <c r="M51" s="4">
        <v>11090.953100000001</v>
      </c>
      <c r="N51" s="4">
        <v>130728.96090000001</v>
      </c>
      <c r="O51" s="4">
        <v>259388.5625</v>
      </c>
      <c r="P51" s="4">
        <v>318900.09379999997</v>
      </c>
      <c r="Q51" s="4">
        <v>32120.0762</v>
      </c>
      <c r="R51" s="4">
        <v>68440.453099999999</v>
      </c>
      <c r="S51" s="4">
        <v>96914.8125</v>
      </c>
      <c r="T51" s="4">
        <v>16821.968799999999</v>
      </c>
      <c r="U51" s="4">
        <v>87050.632800000007</v>
      </c>
      <c r="V51" s="4">
        <v>15097.2412</v>
      </c>
      <c r="W51" s="4">
        <v>436770</v>
      </c>
      <c r="X51" s="4">
        <v>20169.831999999999</v>
      </c>
      <c r="Y51" s="4">
        <v>255761.9063</v>
      </c>
      <c r="Z51" s="4">
        <v>91235.890599999999</v>
      </c>
      <c r="AA51" s="4">
        <v>20441.2012</v>
      </c>
      <c r="AB51" s="4">
        <v>56248.839800000002</v>
      </c>
      <c r="AC51" s="4">
        <v>13721.671899999999</v>
      </c>
      <c r="AD51" s="4">
        <v>39801.453099999999</v>
      </c>
      <c r="AE51" s="4">
        <v>539497.625</v>
      </c>
      <c r="AF51" s="4">
        <v>939722.5625</v>
      </c>
      <c r="AG51" s="4">
        <v>70325</v>
      </c>
      <c r="AH51" s="4">
        <v>418800</v>
      </c>
      <c r="AI51" s="4">
        <v>87860</v>
      </c>
      <c r="AJ51" s="4">
        <v>571826.125</v>
      </c>
      <c r="AK51" s="4">
        <v>95280</v>
      </c>
      <c r="AL51" s="4">
        <v>6535.0141999999996</v>
      </c>
      <c r="AM51" s="4">
        <v>47366.152300000002</v>
      </c>
      <c r="AN51" s="4">
        <v>133111.8125</v>
      </c>
      <c r="AO51" s="4">
        <v>26250</v>
      </c>
      <c r="AP51" s="4">
        <v>84061.25</v>
      </c>
      <c r="AQ51" s="4">
        <v>48237.566400000003</v>
      </c>
      <c r="AR51" s="4">
        <v>11682.073200000001</v>
      </c>
      <c r="AS51" s="4">
        <v>79260.859400000001</v>
      </c>
      <c r="AT51" s="4">
        <v>8450134</v>
      </c>
      <c r="AU51" s="295"/>
      <c r="AV51" s="295"/>
      <c r="AW51" s="295"/>
      <c r="AX51" s="295"/>
      <c r="AY51" s="295"/>
      <c r="AZ51" s="295"/>
      <c r="BA51" s="295"/>
      <c r="BB51" s="295"/>
    </row>
    <row r="52" spans="1:54" s="291" customFormat="1">
      <c r="A52" s="283">
        <v>51</v>
      </c>
      <c r="B52" s="3">
        <v>41210</v>
      </c>
      <c r="C52" s="4">
        <v>587186.3125</v>
      </c>
      <c r="D52" s="4">
        <v>117142.74219999999</v>
      </c>
      <c r="E52" s="4">
        <v>337865.1875</v>
      </c>
      <c r="F52" s="4">
        <v>164591.375</v>
      </c>
      <c r="G52" s="4">
        <v>21367.5</v>
      </c>
      <c r="H52" s="4">
        <v>180705.7813</v>
      </c>
      <c r="I52" s="4">
        <v>106525.1563</v>
      </c>
      <c r="J52" s="4">
        <v>118000</v>
      </c>
      <c r="K52" s="4">
        <v>154687.5</v>
      </c>
      <c r="L52" s="4">
        <v>55175.789100000002</v>
      </c>
      <c r="M52" s="4">
        <v>10846.299800000001</v>
      </c>
      <c r="N52" s="4">
        <v>154695.9375</v>
      </c>
      <c r="O52" s="4">
        <v>272938.6875</v>
      </c>
      <c r="P52" s="4">
        <v>357078.28129999997</v>
      </c>
      <c r="Q52" s="4">
        <v>36485.914100000002</v>
      </c>
      <c r="R52" s="4">
        <v>68966.914099999995</v>
      </c>
      <c r="S52" s="4">
        <v>104594.85159999999</v>
      </c>
      <c r="T52" s="4">
        <v>17707.333999999999</v>
      </c>
      <c r="U52" s="4">
        <v>87868.007800000007</v>
      </c>
      <c r="V52" s="4">
        <v>16942.458999999999</v>
      </c>
      <c r="W52" s="4">
        <v>428393.5625</v>
      </c>
      <c r="X52" s="4">
        <v>21272.8691</v>
      </c>
      <c r="Y52" s="4">
        <v>252966.7188</v>
      </c>
      <c r="Z52" s="4">
        <v>86222.929699999993</v>
      </c>
      <c r="AA52" s="4">
        <v>23017.824199999999</v>
      </c>
      <c r="AB52" s="4">
        <v>67034.179699999993</v>
      </c>
      <c r="AC52" s="4">
        <v>13929.575199999999</v>
      </c>
      <c r="AD52" s="4">
        <v>43339.363299999997</v>
      </c>
      <c r="AE52" s="4">
        <v>551117.5625</v>
      </c>
      <c r="AF52" s="4">
        <v>908303.25</v>
      </c>
      <c r="AG52" s="4">
        <v>78300</v>
      </c>
      <c r="AH52" s="4">
        <v>448800</v>
      </c>
      <c r="AI52" s="4">
        <v>97980</v>
      </c>
      <c r="AJ52" s="4">
        <v>546391.5625</v>
      </c>
      <c r="AK52" s="4">
        <v>110400</v>
      </c>
      <c r="AL52" s="4">
        <v>6535.0141999999996</v>
      </c>
      <c r="AM52" s="4">
        <v>50422.031300000002</v>
      </c>
      <c r="AN52" s="4">
        <v>136171.85939999999</v>
      </c>
      <c r="AO52" s="4">
        <v>27562.5</v>
      </c>
      <c r="AP52" s="4">
        <v>82626.757800000007</v>
      </c>
      <c r="AQ52" s="4">
        <v>47279.207000000002</v>
      </c>
      <c r="AR52" s="4">
        <v>11328.070299999999</v>
      </c>
      <c r="AS52" s="4">
        <v>80131.851599999995</v>
      </c>
      <c r="AT52" s="4">
        <v>8383180.5</v>
      </c>
      <c r="AU52" s="295"/>
      <c r="AV52" s="295"/>
      <c r="AW52" s="295"/>
      <c r="AX52" s="295"/>
      <c r="AY52" s="295"/>
      <c r="AZ52" s="295"/>
      <c r="BA52" s="295"/>
      <c r="BB52" s="295"/>
    </row>
    <row r="53" spans="1:54" s="291" customFormat="1" ht="12.75">
      <c r="AU53" s="296"/>
      <c r="AV53" s="296"/>
      <c r="AW53" s="296"/>
      <c r="AX53" s="296"/>
      <c r="AY53" s="296"/>
      <c r="AZ53" s="296"/>
      <c r="BA53" s="296"/>
      <c r="BB53" s="296"/>
    </row>
    <row r="55" spans="1:54">
      <c r="B55" s="1" t="s">
        <v>0</v>
      </c>
      <c r="C55" s="22">
        <v>2</v>
      </c>
      <c r="D55" s="23">
        <v>4</v>
      </c>
      <c r="E55" s="23">
        <v>6</v>
      </c>
      <c r="F55" s="23">
        <v>8</v>
      </c>
      <c r="G55" s="23">
        <v>10</v>
      </c>
      <c r="H55" s="23">
        <v>12</v>
      </c>
      <c r="I55" s="23">
        <v>14</v>
      </c>
      <c r="J55" s="23">
        <v>16</v>
      </c>
      <c r="K55" s="23">
        <v>18</v>
      </c>
      <c r="L55" s="23">
        <v>20</v>
      </c>
      <c r="M55" s="23">
        <v>22</v>
      </c>
      <c r="N55" s="23">
        <v>24</v>
      </c>
      <c r="O55" s="23">
        <v>26</v>
      </c>
      <c r="P55" s="23">
        <v>28</v>
      </c>
      <c r="Q55" s="23">
        <v>30</v>
      </c>
      <c r="R55" s="23">
        <v>32</v>
      </c>
      <c r="S55" s="23">
        <v>34</v>
      </c>
      <c r="T55" s="23">
        <v>36</v>
      </c>
      <c r="U55" s="23">
        <v>38</v>
      </c>
      <c r="V55" s="23">
        <v>40</v>
      </c>
      <c r="W55" s="23">
        <v>42</v>
      </c>
      <c r="X55" s="23">
        <v>44</v>
      </c>
      <c r="Y55" s="23">
        <v>46</v>
      </c>
      <c r="Z55" s="23">
        <v>48</v>
      </c>
      <c r="AA55" s="23">
        <v>50</v>
      </c>
      <c r="AB55" s="23">
        <v>52</v>
      </c>
      <c r="AC55" s="23">
        <v>54</v>
      </c>
      <c r="AD55" s="23">
        <v>56</v>
      </c>
      <c r="AE55" s="23">
        <v>60</v>
      </c>
      <c r="AF55" s="23">
        <v>62</v>
      </c>
      <c r="AG55" s="23">
        <v>64</v>
      </c>
      <c r="AH55" s="23">
        <v>66</v>
      </c>
      <c r="AI55" s="23">
        <v>70</v>
      </c>
      <c r="AJ55" s="23">
        <v>72</v>
      </c>
      <c r="AK55" s="23">
        <v>74</v>
      </c>
      <c r="AL55" s="23">
        <v>76</v>
      </c>
      <c r="AM55" s="23">
        <v>78</v>
      </c>
      <c r="AN55" s="23">
        <v>80</v>
      </c>
      <c r="AO55" s="23">
        <v>82</v>
      </c>
      <c r="AP55" s="23">
        <v>84</v>
      </c>
      <c r="AQ55" s="23">
        <v>86</v>
      </c>
      <c r="AR55" s="23">
        <v>88</v>
      </c>
      <c r="AS55" s="23">
        <v>90</v>
      </c>
      <c r="AT55" s="23">
        <v>92</v>
      </c>
    </row>
    <row r="56" spans="1:54">
      <c r="A56" s="283">
        <v>1</v>
      </c>
      <c r="B56" s="5" t="s">
        <v>1</v>
      </c>
      <c r="C56" s="6" t="s">
        <v>2</v>
      </c>
      <c r="D56" s="6" t="s">
        <v>3</v>
      </c>
      <c r="E56" s="6" t="s">
        <v>4</v>
      </c>
      <c r="F56" s="6" t="s">
        <v>5</v>
      </c>
      <c r="G56" s="6" t="s">
        <v>6</v>
      </c>
      <c r="H56" s="6" t="s">
        <v>7</v>
      </c>
      <c r="I56" s="6" t="s">
        <v>8</v>
      </c>
      <c r="J56" s="6" t="s">
        <v>9</v>
      </c>
      <c r="K56" s="6" t="s">
        <v>10</v>
      </c>
      <c r="L56" s="6" t="s">
        <v>11</v>
      </c>
      <c r="M56" s="6" t="s">
        <v>12</v>
      </c>
      <c r="N56" s="6" t="s">
        <v>13</v>
      </c>
      <c r="O56" s="6" t="s">
        <v>14</v>
      </c>
      <c r="P56" s="6" t="s">
        <v>15</v>
      </c>
      <c r="Q56" s="6" t="s">
        <v>16</v>
      </c>
      <c r="R56" s="6" t="s">
        <v>17</v>
      </c>
      <c r="S56" s="6" t="s">
        <v>18</v>
      </c>
      <c r="T56" s="6" t="s">
        <v>19</v>
      </c>
      <c r="U56" s="6" t="s">
        <v>20</v>
      </c>
      <c r="V56" s="6" t="s">
        <v>21</v>
      </c>
      <c r="W56" s="6" t="s">
        <v>22</v>
      </c>
      <c r="X56" s="6" t="s">
        <v>23</v>
      </c>
      <c r="Y56" s="6" t="s">
        <v>24</v>
      </c>
      <c r="Z56" s="6" t="s">
        <v>25</v>
      </c>
      <c r="AA56" s="6" t="s">
        <v>26</v>
      </c>
      <c r="AB56" s="6" t="s">
        <v>27</v>
      </c>
      <c r="AC56" s="6" t="s">
        <v>28</v>
      </c>
      <c r="AD56" s="6" t="s">
        <v>29</v>
      </c>
      <c r="AE56" s="6" t="s">
        <v>30</v>
      </c>
      <c r="AF56" s="6" t="s">
        <v>31</v>
      </c>
      <c r="AG56" s="6" t="s">
        <v>32</v>
      </c>
      <c r="AH56" s="6" t="s">
        <v>33</v>
      </c>
      <c r="AI56" s="6" t="s">
        <v>34</v>
      </c>
      <c r="AJ56" s="6" t="s">
        <v>35</v>
      </c>
      <c r="AK56" s="6" t="s">
        <v>36</v>
      </c>
      <c r="AL56" s="6" t="s">
        <v>37</v>
      </c>
      <c r="AM56" s="6" t="s">
        <v>38</v>
      </c>
      <c r="AN56" s="6" t="s">
        <v>39</v>
      </c>
      <c r="AO56" s="6" t="s">
        <v>40</v>
      </c>
      <c r="AP56" s="6" t="s">
        <v>41</v>
      </c>
      <c r="AQ56" s="6" t="s">
        <v>42</v>
      </c>
      <c r="AR56" s="6" t="s">
        <v>43</v>
      </c>
      <c r="AS56" s="6" t="s">
        <v>44</v>
      </c>
      <c r="AT56" s="2" t="s">
        <v>45</v>
      </c>
    </row>
    <row r="57" spans="1:54">
      <c r="A57" s="283">
        <v>2</v>
      </c>
      <c r="B57" s="3">
        <v>39719</v>
      </c>
      <c r="C57" s="4">
        <v>74</v>
      </c>
      <c r="D57" s="4">
        <v>33.25</v>
      </c>
      <c r="E57" s="4">
        <v>106</v>
      </c>
      <c r="F57" s="4">
        <v>32</v>
      </c>
      <c r="G57" s="4">
        <v>16.8</v>
      </c>
      <c r="H57" s="4">
        <v>17.399999999999999</v>
      </c>
      <c r="I57" s="4">
        <v>328.61</v>
      </c>
      <c r="J57" s="4">
        <v>20.8</v>
      </c>
      <c r="K57" s="4">
        <v>44</v>
      </c>
      <c r="L57" s="4">
        <v>33</v>
      </c>
      <c r="M57" s="4">
        <v>3.5</v>
      </c>
      <c r="N57" s="4">
        <v>17.3</v>
      </c>
      <c r="O57" s="4">
        <v>4.08</v>
      </c>
      <c r="P57" s="4">
        <v>5.4</v>
      </c>
      <c r="Q57" s="4">
        <v>15.8</v>
      </c>
      <c r="R57" s="4">
        <v>65</v>
      </c>
      <c r="S57" s="4">
        <v>28.25</v>
      </c>
      <c r="T57" s="4">
        <v>15</v>
      </c>
      <c r="U57" s="4">
        <v>4.12</v>
      </c>
      <c r="V57" s="4">
        <v>4.0599999999999996</v>
      </c>
      <c r="W57" s="4">
        <v>64.5</v>
      </c>
      <c r="X57" s="4">
        <v>9.15</v>
      </c>
      <c r="Y57" s="4">
        <v>6.02</v>
      </c>
      <c r="Z57" s="4">
        <v>6.4</v>
      </c>
      <c r="AA57" s="4">
        <v>20.7</v>
      </c>
      <c r="AB57" s="4">
        <v>10.27</v>
      </c>
      <c r="AC57" s="4">
        <v>15.6</v>
      </c>
      <c r="AD57" s="4">
        <v>7.25</v>
      </c>
      <c r="AE57" s="4">
        <v>136</v>
      </c>
      <c r="AF57" s="4">
        <v>236</v>
      </c>
      <c r="AG57" s="4">
        <v>36</v>
      </c>
      <c r="AH57" s="4">
        <v>134</v>
      </c>
      <c r="AI57" s="4">
        <v>167</v>
      </c>
      <c r="AJ57" s="4">
        <v>70.5</v>
      </c>
      <c r="AK57" s="4">
        <v>83</v>
      </c>
      <c r="AL57" s="4">
        <v>1.6099999999999999</v>
      </c>
      <c r="AM57" s="4">
        <v>12.5</v>
      </c>
      <c r="AN57" s="4">
        <v>43.75</v>
      </c>
      <c r="AO57" s="4">
        <v>18.100000000000001</v>
      </c>
      <c r="AP57" s="4">
        <v>18.23</v>
      </c>
      <c r="AQ57" s="4">
        <v>10.9</v>
      </c>
      <c r="AR57" s="4">
        <v>24.55</v>
      </c>
      <c r="AS57" s="4">
        <v>1.04</v>
      </c>
      <c r="AT57" s="4">
        <v>435.25</v>
      </c>
    </row>
    <row r="58" spans="1:54">
      <c r="A58" s="283">
        <v>3</v>
      </c>
      <c r="B58" s="3">
        <v>39749</v>
      </c>
      <c r="C58" s="4">
        <v>62.79</v>
      </c>
      <c r="D58" s="4">
        <v>16</v>
      </c>
      <c r="E58" s="4">
        <v>63.5</v>
      </c>
      <c r="F58" s="4">
        <v>18.2</v>
      </c>
      <c r="G58" s="4">
        <v>11.8</v>
      </c>
      <c r="H58" s="4">
        <v>9.8000000000000007</v>
      </c>
      <c r="I58" s="4">
        <v>147.47999999999999</v>
      </c>
      <c r="J58" s="4">
        <v>16.100000000000001</v>
      </c>
      <c r="K58" s="4">
        <v>34.75</v>
      </c>
      <c r="L58" s="4">
        <v>23.7</v>
      </c>
      <c r="M58" s="4">
        <v>1.81</v>
      </c>
      <c r="N58" s="4">
        <v>7.85</v>
      </c>
      <c r="O58" s="4">
        <v>2.98</v>
      </c>
      <c r="P58" s="4">
        <v>3.98</v>
      </c>
      <c r="Q58" s="4">
        <v>11</v>
      </c>
      <c r="R58" s="4">
        <v>58</v>
      </c>
      <c r="S58" s="4">
        <v>19.5</v>
      </c>
      <c r="T58" s="4">
        <v>10</v>
      </c>
      <c r="U58" s="4">
        <v>2.2200000000000002</v>
      </c>
      <c r="V58" s="4">
        <v>2.2599999999999998</v>
      </c>
      <c r="W58" s="4">
        <v>48.75</v>
      </c>
      <c r="X58" s="4">
        <v>5.2</v>
      </c>
      <c r="Y58" s="4">
        <v>3.63</v>
      </c>
      <c r="Z58" s="4">
        <v>2.92</v>
      </c>
      <c r="AA58" s="4">
        <v>12.3</v>
      </c>
      <c r="AB58" s="4">
        <v>6.18</v>
      </c>
      <c r="AC58" s="4">
        <v>8</v>
      </c>
      <c r="AD58" s="4">
        <v>4.1399999999999997</v>
      </c>
      <c r="AE58" s="4">
        <v>81</v>
      </c>
      <c r="AF58" s="4">
        <v>148</v>
      </c>
      <c r="AG58" s="4">
        <v>28.75</v>
      </c>
      <c r="AH58" s="4">
        <v>99.5</v>
      </c>
      <c r="AI58" s="4">
        <v>108</v>
      </c>
      <c r="AJ58" s="4">
        <v>49.75</v>
      </c>
      <c r="AK58" s="4">
        <v>57.5</v>
      </c>
      <c r="AL58" s="4">
        <v>0.6</v>
      </c>
      <c r="AM58" s="4">
        <v>7.55</v>
      </c>
      <c r="AN58" s="4">
        <v>19.8</v>
      </c>
      <c r="AO58" s="4">
        <v>10.199999999999999</v>
      </c>
      <c r="AP58" s="4">
        <v>15.61</v>
      </c>
      <c r="AQ58" s="4">
        <v>5.25</v>
      </c>
      <c r="AR58" s="4">
        <v>9.4499999999999993</v>
      </c>
      <c r="AS58" s="4">
        <v>0.52</v>
      </c>
      <c r="AT58" s="4">
        <v>273.52</v>
      </c>
    </row>
    <row r="59" spans="1:54">
      <c r="A59" s="283">
        <v>4</v>
      </c>
      <c r="B59" s="3">
        <v>39780</v>
      </c>
      <c r="C59" s="4">
        <v>69.069999999999993</v>
      </c>
      <c r="D59" s="4">
        <v>17.8</v>
      </c>
      <c r="E59" s="4">
        <v>65.5</v>
      </c>
      <c r="F59" s="4">
        <v>15.7</v>
      </c>
      <c r="G59" s="4">
        <v>12.6</v>
      </c>
      <c r="H59" s="4">
        <v>9.5500000000000007</v>
      </c>
      <c r="I59" s="4">
        <v>185.09</v>
      </c>
      <c r="J59" s="4">
        <v>17.600000000000001</v>
      </c>
      <c r="K59" s="4">
        <v>30</v>
      </c>
      <c r="L59" s="4">
        <v>18.8</v>
      </c>
      <c r="M59" s="4">
        <v>1.54</v>
      </c>
      <c r="N59" s="4">
        <v>9.6</v>
      </c>
      <c r="O59" s="4">
        <v>2.8</v>
      </c>
      <c r="P59" s="4">
        <v>5.3</v>
      </c>
      <c r="Q59" s="4">
        <v>10.4</v>
      </c>
      <c r="R59" s="4">
        <v>53.5</v>
      </c>
      <c r="S59" s="4">
        <v>20.399999999999999</v>
      </c>
      <c r="T59" s="4">
        <v>8.5</v>
      </c>
      <c r="U59" s="4">
        <v>1.87</v>
      </c>
      <c r="V59" s="4">
        <v>1.8</v>
      </c>
      <c r="W59" s="4">
        <v>42.5</v>
      </c>
      <c r="X59" s="4">
        <v>5.7</v>
      </c>
      <c r="Y59" s="4">
        <v>3.1</v>
      </c>
      <c r="Z59" s="4">
        <v>3.1</v>
      </c>
      <c r="AA59" s="4">
        <v>10.199999999999999</v>
      </c>
      <c r="AB59" s="4">
        <v>5.86</v>
      </c>
      <c r="AC59" s="4">
        <v>9.25</v>
      </c>
      <c r="AD59" s="4">
        <v>3.52</v>
      </c>
      <c r="AE59" s="4">
        <v>93.5</v>
      </c>
      <c r="AF59" s="4">
        <v>147</v>
      </c>
      <c r="AG59" s="4">
        <v>30.75</v>
      </c>
      <c r="AH59" s="4">
        <v>90</v>
      </c>
      <c r="AI59" s="4">
        <v>109</v>
      </c>
      <c r="AJ59" s="4">
        <v>48</v>
      </c>
      <c r="AK59" s="4">
        <v>62</v>
      </c>
      <c r="AL59" s="4">
        <v>0.66</v>
      </c>
      <c r="AM59" s="4">
        <v>7.55</v>
      </c>
      <c r="AN59" s="4">
        <v>19</v>
      </c>
      <c r="AO59" s="4">
        <v>10.7</v>
      </c>
      <c r="AP59" s="4">
        <v>16.73</v>
      </c>
      <c r="AQ59" s="4">
        <v>6.8</v>
      </c>
      <c r="AR59" s="4">
        <v>11.73</v>
      </c>
      <c r="AS59" s="4">
        <v>0.55000000000000004</v>
      </c>
      <c r="AT59" s="4">
        <v>279.83</v>
      </c>
    </row>
    <row r="60" spans="1:54">
      <c r="A60" s="283">
        <v>5</v>
      </c>
      <c r="B60" s="3">
        <v>39810</v>
      </c>
      <c r="C60" s="4">
        <v>69.959999999999994</v>
      </c>
      <c r="D60" s="4">
        <v>20.6</v>
      </c>
      <c r="E60" s="4">
        <v>68.5</v>
      </c>
      <c r="F60" s="4">
        <v>17.600000000000001</v>
      </c>
      <c r="G60" s="4">
        <v>17</v>
      </c>
      <c r="H60" s="4">
        <v>9.3000000000000007</v>
      </c>
      <c r="I60" s="4">
        <v>223.69</v>
      </c>
      <c r="J60" s="4">
        <v>19.600000000000001</v>
      </c>
      <c r="K60" s="4">
        <v>36.75</v>
      </c>
      <c r="L60" s="4">
        <v>20.7</v>
      </c>
      <c r="M60" s="4">
        <v>1.71</v>
      </c>
      <c r="N60" s="4">
        <v>14.6</v>
      </c>
      <c r="O60" s="4">
        <v>3.08</v>
      </c>
      <c r="P60" s="4">
        <v>6.1</v>
      </c>
      <c r="Q60" s="4">
        <v>12</v>
      </c>
      <c r="R60" s="4">
        <v>66.5</v>
      </c>
      <c r="S60" s="4">
        <v>22.2</v>
      </c>
      <c r="T60" s="4">
        <v>10.7</v>
      </c>
      <c r="U60" s="4">
        <v>2.16</v>
      </c>
      <c r="V60" s="4">
        <v>2.2000000000000002</v>
      </c>
      <c r="W60" s="4">
        <v>45.75</v>
      </c>
      <c r="X60" s="4">
        <v>5.8</v>
      </c>
      <c r="Y60" s="4">
        <v>3.67</v>
      </c>
      <c r="Z60" s="4">
        <v>3.84</v>
      </c>
      <c r="AA60" s="4">
        <v>13</v>
      </c>
      <c r="AB60" s="4">
        <v>7.14</v>
      </c>
      <c r="AC60" s="4">
        <v>11.3</v>
      </c>
      <c r="AD60" s="4">
        <v>4.5999999999999996</v>
      </c>
      <c r="AE60" s="4">
        <v>102</v>
      </c>
      <c r="AF60" s="4">
        <v>172</v>
      </c>
      <c r="AG60" s="4">
        <v>43.25</v>
      </c>
      <c r="AH60" s="4">
        <v>104</v>
      </c>
      <c r="AI60" s="4">
        <v>130</v>
      </c>
      <c r="AJ60" s="4">
        <v>49</v>
      </c>
      <c r="AK60" s="4">
        <v>68</v>
      </c>
      <c r="AL60" s="4">
        <v>1.1200000000000001</v>
      </c>
      <c r="AM60" s="4">
        <v>7.85</v>
      </c>
      <c r="AN60" s="4">
        <v>23.5</v>
      </c>
      <c r="AO60" s="4">
        <v>11.9</v>
      </c>
      <c r="AP60" s="4">
        <v>18.04</v>
      </c>
      <c r="AQ60" s="4">
        <v>7.05</v>
      </c>
      <c r="AR60" s="4">
        <v>15.27</v>
      </c>
      <c r="AS60" s="4">
        <v>0.61</v>
      </c>
      <c r="AT60" s="4">
        <v>313.79000000000002</v>
      </c>
    </row>
    <row r="61" spans="1:54">
      <c r="A61" s="283">
        <v>6</v>
      </c>
      <c r="B61" s="3">
        <v>39841</v>
      </c>
      <c r="C61" s="4">
        <v>67.72</v>
      </c>
      <c r="D61" s="4">
        <v>18.5</v>
      </c>
      <c r="E61" s="4">
        <v>74.5</v>
      </c>
      <c r="F61" s="4">
        <v>17.5</v>
      </c>
      <c r="G61" s="4">
        <v>16.3</v>
      </c>
      <c r="H61" s="4">
        <v>9.15</v>
      </c>
      <c r="I61" s="4">
        <v>229.63</v>
      </c>
      <c r="J61" s="4">
        <v>20</v>
      </c>
      <c r="K61" s="4">
        <v>39.5</v>
      </c>
      <c r="L61" s="4">
        <v>21.5</v>
      </c>
      <c r="M61" s="4">
        <v>1.58</v>
      </c>
      <c r="N61" s="4">
        <v>13.5</v>
      </c>
      <c r="O61" s="4">
        <v>3.34</v>
      </c>
      <c r="P61" s="4">
        <v>5.65</v>
      </c>
      <c r="Q61" s="4">
        <v>9.6</v>
      </c>
      <c r="R61" s="4">
        <v>69</v>
      </c>
      <c r="S61" s="4">
        <v>23.6</v>
      </c>
      <c r="T61" s="4">
        <v>11</v>
      </c>
      <c r="U61" s="4">
        <v>2.02</v>
      </c>
      <c r="V61" s="4">
        <v>2.7</v>
      </c>
      <c r="W61" s="4">
        <v>47</v>
      </c>
      <c r="X61" s="4">
        <v>6.1</v>
      </c>
      <c r="Y61" s="4">
        <v>3.89</v>
      </c>
      <c r="Z61" s="4">
        <v>3.32</v>
      </c>
      <c r="AA61" s="4">
        <v>12.5</v>
      </c>
      <c r="AB61" s="4">
        <v>6.5</v>
      </c>
      <c r="AC61" s="4">
        <v>11</v>
      </c>
      <c r="AD61" s="4">
        <v>4.5</v>
      </c>
      <c r="AE61" s="4">
        <v>101</v>
      </c>
      <c r="AF61" s="4">
        <v>167</v>
      </c>
      <c r="AG61" s="4">
        <v>39.75</v>
      </c>
      <c r="AH61" s="4">
        <v>105</v>
      </c>
      <c r="AI61" s="4">
        <v>132</v>
      </c>
      <c r="AJ61" s="4">
        <v>54</v>
      </c>
      <c r="AK61" s="4">
        <v>69</v>
      </c>
      <c r="AL61" s="4">
        <v>1.07</v>
      </c>
      <c r="AM61" s="4">
        <v>7.1</v>
      </c>
      <c r="AN61" s="4">
        <v>25.5</v>
      </c>
      <c r="AO61" s="4">
        <v>13.1</v>
      </c>
      <c r="AP61" s="4">
        <v>18.32</v>
      </c>
      <c r="AQ61" s="4">
        <v>7.2</v>
      </c>
      <c r="AR61" s="4">
        <v>16.18</v>
      </c>
      <c r="AS61" s="4">
        <v>0.56999999999999995</v>
      </c>
      <c r="AT61" s="4">
        <v>312.51</v>
      </c>
    </row>
    <row r="62" spans="1:54">
      <c r="A62" s="283">
        <v>7</v>
      </c>
      <c r="B62" s="3">
        <v>39872</v>
      </c>
      <c r="C62" s="4">
        <v>72.209999999999994</v>
      </c>
      <c r="D62" s="4">
        <v>16.100000000000001</v>
      </c>
      <c r="E62" s="4">
        <v>74.5</v>
      </c>
      <c r="F62" s="4">
        <v>17.100000000000001</v>
      </c>
      <c r="G62" s="4">
        <v>15.8</v>
      </c>
      <c r="H62" s="4">
        <v>8.85</v>
      </c>
      <c r="I62" s="4">
        <v>209.83</v>
      </c>
      <c r="J62" s="4">
        <v>19.3</v>
      </c>
      <c r="K62" s="4">
        <v>38.75</v>
      </c>
      <c r="L62" s="4">
        <v>21.2</v>
      </c>
      <c r="M62" s="4">
        <v>1.22</v>
      </c>
      <c r="N62" s="4">
        <v>12.4</v>
      </c>
      <c r="O62" s="4">
        <v>3.38</v>
      </c>
      <c r="P62" s="4">
        <v>6.05</v>
      </c>
      <c r="Q62" s="4">
        <v>10.6</v>
      </c>
      <c r="R62" s="4">
        <v>71</v>
      </c>
      <c r="S62" s="4">
        <v>20.8</v>
      </c>
      <c r="T62" s="4">
        <v>11.3</v>
      </c>
      <c r="U62" s="4">
        <v>1.87</v>
      </c>
      <c r="V62" s="4">
        <v>2.3199999999999998</v>
      </c>
      <c r="W62" s="4">
        <v>44.5</v>
      </c>
      <c r="X62" s="4">
        <v>6.25</v>
      </c>
      <c r="Y62" s="4">
        <v>3.89</v>
      </c>
      <c r="Z62" s="4">
        <v>2.7</v>
      </c>
      <c r="AA62" s="4">
        <v>13.3</v>
      </c>
      <c r="AB62" s="4">
        <v>5.91</v>
      </c>
      <c r="AC62" s="4">
        <v>10.6</v>
      </c>
      <c r="AD62" s="4">
        <v>3.94</v>
      </c>
      <c r="AE62" s="4">
        <v>89</v>
      </c>
      <c r="AF62" s="4">
        <v>156</v>
      </c>
      <c r="AG62" s="4">
        <v>38</v>
      </c>
      <c r="AH62" s="4">
        <v>100</v>
      </c>
      <c r="AI62" s="4">
        <v>134</v>
      </c>
      <c r="AJ62" s="4">
        <v>56</v>
      </c>
      <c r="AK62" s="4">
        <v>69.5</v>
      </c>
      <c r="AL62" s="4">
        <v>0.82</v>
      </c>
      <c r="AM62" s="4">
        <v>7.65</v>
      </c>
      <c r="AN62" s="4">
        <v>24</v>
      </c>
      <c r="AO62" s="4">
        <v>12.5</v>
      </c>
      <c r="AP62" s="4">
        <v>18.04</v>
      </c>
      <c r="AQ62" s="4">
        <v>8.0500000000000007</v>
      </c>
      <c r="AR62" s="4">
        <v>13.7</v>
      </c>
      <c r="AS62" s="4">
        <v>0.49</v>
      </c>
      <c r="AT62" s="4">
        <v>299.58</v>
      </c>
    </row>
    <row r="63" spans="1:54">
      <c r="A63" s="283">
        <v>8</v>
      </c>
      <c r="B63" s="3">
        <v>39900</v>
      </c>
      <c r="C63" s="4">
        <v>74.900000000000006</v>
      </c>
      <c r="D63" s="4">
        <v>15.8</v>
      </c>
      <c r="E63" s="4">
        <v>76.5</v>
      </c>
      <c r="F63" s="4">
        <v>16.899999999999999</v>
      </c>
      <c r="G63" s="4">
        <v>15.9</v>
      </c>
      <c r="H63" s="4">
        <v>8.9499999999999993</v>
      </c>
      <c r="I63" s="4">
        <v>221.71</v>
      </c>
      <c r="J63" s="4">
        <v>18.5</v>
      </c>
      <c r="K63" s="4">
        <v>41.25</v>
      </c>
      <c r="L63" s="4">
        <v>17.899999999999999</v>
      </c>
      <c r="M63" s="4">
        <v>1.32</v>
      </c>
      <c r="N63" s="4">
        <v>12.8</v>
      </c>
      <c r="O63" s="4">
        <v>3.36</v>
      </c>
      <c r="P63" s="4">
        <v>6.25</v>
      </c>
      <c r="Q63" s="4">
        <v>9.4</v>
      </c>
      <c r="R63" s="4">
        <v>67.5</v>
      </c>
      <c r="S63" s="4">
        <v>21</v>
      </c>
      <c r="T63" s="4">
        <v>9.9499999999999993</v>
      </c>
      <c r="U63" s="4">
        <v>1.92</v>
      </c>
      <c r="V63" s="4">
        <v>2.06</v>
      </c>
      <c r="W63" s="4">
        <v>46.5</v>
      </c>
      <c r="X63" s="4">
        <v>6.55</v>
      </c>
      <c r="Y63" s="4">
        <v>4.25</v>
      </c>
      <c r="Z63" s="4">
        <v>3.06</v>
      </c>
      <c r="AA63" s="4">
        <v>13.1</v>
      </c>
      <c r="AB63" s="4">
        <v>5.82</v>
      </c>
      <c r="AC63" s="4">
        <v>10.3</v>
      </c>
      <c r="AD63" s="4">
        <v>4.16</v>
      </c>
      <c r="AE63" s="4">
        <v>100</v>
      </c>
      <c r="AF63" s="4">
        <v>160</v>
      </c>
      <c r="AG63" s="4">
        <v>40</v>
      </c>
      <c r="AH63" s="4">
        <v>101</v>
      </c>
      <c r="AI63" s="4">
        <v>128</v>
      </c>
      <c r="AJ63" s="4">
        <v>55.5</v>
      </c>
      <c r="AK63" s="4">
        <v>67</v>
      </c>
      <c r="AL63" s="4">
        <v>0.87</v>
      </c>
      <c r="AM63" s="4">
        <v>9.15</v>
      </c>
      <c r="AN63" s="4">
        <v>26.5</v>
      </c>
      <c r="AO63" s="4">
        <v>12.7</v>
      </c>
      <c r="AP63" s="4">
        <v>18.88</v>
      </c>
      <c r="AQ63" s="4">
        <v>9.8000000000000007</v>
      </c>
      <c r="AR63" s="4">
        <v>13.1</v>
      </c>
      <c r="AS63" s="4">
        <v>0.45</v>
      </c>
      <c r="AT63" s="4">
        <v>307.95999999999998</v>
      </c>
    </row>
    <row r="64" spans="1:54">
      <c r="A64" s="283">
        <v>9</v>
      </c>
      <c r="B64" s="3">
        <v>39931</v>
      </c>
      <c r="C64" s="4">
        <v>69.739999999999995</v>
      </c>
      <c r="D64" s="4">
        <v>18.100000000000001</v>
      </c>
      <c r="E64" s="4">
        <v>78.75</v>
      </c>
      <c r="F64" s="4">
        <v>19.600000000000001</v>
      </c>
      <c r="G64" s="4">
        <v>15.4</v>
      </c>
      <c r="H64" s="4">
        <v>10.1</v>
      </c>
      <c r="I64" s="4">
        <v>265.26</v>
      </c>
      <c r="J64" s="4">
        <v>18.7</v>
      </c>
      <c r="K64" s="4">
        <v>40</v>
      </c>
      <c r="L64" s="4">
        <v>23.6</v>
      </c>
      <c r="M64" s="4">
        <v>1.9300000000000002</v>
      </c>
      <c r="N64" s="4">
        <v>13.5</v>
      </c>
      <c r="O64" s="4">
        <v>3.22</v>
      </c>
      <c r="P64" s="4">
        <v>6.05</v>
      </c>
      <c r="Q64" s="4">
        <v>11.3</v>
      </c>
      <c r="R64" s="4">
        <v>66.25</v>
      </c>
      <c r="S64" s="4">
        <v>23.2</v>
      </c>
      <c r="T64" s="4">
        <v>11.8</v>
      </c>
      <c r="U64" s="4">
        <v>2.84</v>
      </c>
      <c r="V64" s="4">
        <v>2.34</v>
      </c>
      <c r="W64" s="4">
        <v>51.25</v>
      </c>
      <c r="X64" s="4">
        <v>7.5</v>
      </c>
      <c r="Y64" s="4">
        <v>4.99</v>
      </c>
      <c r="Z64" s="4">
        <v>3.7</v>
      </c>
      <c r="AA64" s="4">
        <v>13.8</v>
      </c>
      <c r="AB64" s="4">
        <v>5.82</v>
      </c>
      <c r="AC64" s="4">
        <v>12.4</v>
      </c>
      <c r="AD64" s="4">
        <v>4.92</v>
      </c>
      <c r="AE64" s="4">
        <v>98.25</v>
      </c>
      <c r="AF64" s="4">
        <v>181</v>
      </c>
      <c r="AG64" s="4">
        <v>37.5</v>
      </c>
      <c r="AH64" s="4">
        <v>108.5</v>
      </c>
      <c r="AI64" s="4">
        <v>136.5</v>
      </c>
      <c r="AJ64" s="4">
        <v>58.5</v>
      </c>
      <c r="AK64" s="4">
        <v>67</v>
      </c>
      <c r="AL64" s="4">
        <v>1.05</v>
      </c>
      <c r="AM64" s="4">
        <v>11.5</v>
      </c>
      <c r="AN64" s="4">
        <v>30.75</v>
      </c>
      <c r="AO64" s="4">
        <v>15.9</v>
      </c>
      <c r="AP64" s="4">
        <v>19.63</v>
      </c>
      <c r="AQ64" s="4">
        <v>10.7</v>
      </c>
      <c r="AR64" s="4">
        <v>15.8</v>
      </c>
      <c r="AS64" s="4">
        <v>0.52</v>
      </c>
      <c r="AT64" s="4">
        <v>331.76</v>
      </c>
    </row>
    <row r="65" spans="1:46">
      <c r="A65" s="283">
        <v>10</v>
      </c>
      <c r="B65" s="3">
        <v>39961</v>
      </c>
      <c r="C65" s="4">
        <v>72.430000000000007</v>
      </c>
      <c r="D65" s="4">
        <v>23.1</v>
      </c>
      <c r="E65" s="4">
        <v>88.75</v>
      </c>
      <c r="F65" s="4">
        <v>20.399999999999999</v>
      </c>
      <c r="G65" s="4">
        <v>15.8</v>
      </c>
      <c r="H65" s="4">
        <v>11.8</v>
      </c>
      <c r="I65" s="4">
        <v>307.82</v>
      </c>
      <c r="J65" s="4">
        <v>19.7</v>
      </c>
      <c r="K65" s="4">
        <v>40.25</v>
      </c>
      <c r="L65" s="4">
        <v>27.75</v>
      </c>
      <c r="M65" s="4">
        <v>2.42</v>
      </c>
      <c r="N65" s="4">
        <v>17.5</v>
      </c>
      <c r="O65" s="4">
        <v>4.24</v>
      </c>
      <c r="P65" s="4">
        <v>7.45</v>
      </c>
      <c r="Q65" s="4">
        <v>14.6</v>
      </c>
      <c r="R65" s="4">
        <v>69.5</v>
      </c>
      <c r="S65" s="4">
        <v>28</v>
      </c>
      <c r="T65" s="4">
        <v>14.9</v>
      </c>
      <c r="U65" s="4">
        <v>3.7199999999999998</v>
      </c>
      <c r="V65" s="4">
        <v>2.9</v>
      </c>
      <c r="W65" s="4">
        <v>55.75</v>
      </c>
      <c r="X65" s="4">
        <v>8.8000000000000007</v>
      </c>
      <c r="Y65" s="4">
        <v>6.73</v>
      </c>
      <c r="Z65" s="4">
        <v>5.05</v>
      </c>
      <c r="AA65" s="4">
        <v>17.7</v>
      </c>
      <c r="AB65" s="4">
        <v>7.14</v>
      </c>
      <c r="AC65" s="4">
        <v>16.8</v>
      </c>
      <c r="AD65" s="4">
        <v>7.4</v>
      </c>
      <c r="AE65" s="4">
        <v>125</v>
      </c>
      <c r="AF65" s="4">
        <v>217</v>
      </c>
      <c r="AG65" s="4">
        <v>37.75</v>
      </c>
      <c r="AH65" s="4">
        <v>131.5</v>
      </c>
      <c r="AI65" s="4">
        <v>161</v>
      </c>
      <c r="AJ65" s="4">
        <v>67</v>
      </c>
      <c r="AK65" s="4">
        <v>72</v>
      </c>
      <c r="AL65" s="4">
        <v>1.34</v>
      </c>
      <c r="AM65" s="4">
        <v>15</v>
      </c>
      <c r="AN65" s="4">
        <v>40.25</v>
      </c>
      <c r="AO65" s="4">
        <v>18</v>
      </c>
      <c r="AP65" s="4">
        <v>21.87</v>
      </c>
      <c r="AQ65" s="4">
        <v>12.9</v>
      </c>
      <c r="AR65" s="4">
        <v>20.8</v>
      </c>
      <c r="AS65" s="4">
        <v>0.75</v>
      </c>
      <c r="AT65" s="4">
        <v>394.84</v>
      </c>
    </row>
    <row r="66" spans="1:46">
      <c r="A66" s="283">
        <v>11</v>
      </c>
      <c r="B66" s="3">
        <v>39992</v>
      </c>
      <c r="C66" s="4">
        <v>79.83</v>
      </c>
      <c r="D66" s="4">
        <v>28.25</v>
      </c>
      <c r="E66" s="4">
        <v>106</v>
      </c>
      <c r="F66" s="4">
        <v>22.4</v>
      </c>
      <c r="G66" s="4">
        <v>16.7</v>
      </c>
      <c r="H66" s="4">
        <v>15</v>
      </c>
      <c r="I66" s="4">
        <v>334.55</v>
      </c>
      <c r="J66" s="4">
        <v>20.8</v>
      </c>
      <c r="K66" s="4">
        <v>41.25</v>
      </c>
      <c r="L66" s="4">
        <v>26.25</v>
      </c>
      <c r="M66" s="4">
        <v>2.2200000000000002</v>
      </c>
      <c r="N66" s="4">
        <v>19.3</v>
      </c>
      <c r="O66" s="4">
        <v>4.68</v>
      </c>
      <c r="P66" s="4">
        <v>8.65</v>
      </c>
      <c r="Q66" s="4">
        <v>13.1</v>
      </c>
      <c r="R66" s="4">
        <v>76.25</v>
      </c>
      <c r="S66" s="4">
        <v>32.25</v>
      </c>
      <c r="T66" s="4">
        <v>16</v>
      </c>
      <c r="U66" s="4">
        <v>3.26</v>
      </c>
      <c r="V66" s="4">
        <v>2.8</v>
      </c>
      <c r="W66" s="4">
        <v>66.25</v>
      </c>
      <c r="X66" s="4">
        <v>9.8000000000000007</v>
      </c>
      <c r="Y66" s="4">
        <v>7.9</v>
      </c>
      <c r="Z66" s="4">
        <v>5.25</v>
      </c>
      <c r="AA66" s="4">
        <v>18.2</v>
      </c>
      <c r="AB66" s="4">
        <v>7.27</v>
      </c>
      <c r="AC66" s="4">
        <v>15.8</v>
      </c>
      <c r="AD66" s="4">
        <v>8.4499999999999993</v>
      </c>
      <c r="AE66" s="4">
        <v>133</v>
      </c>
      <c r="AF66" s="4">
        <v>237</v>
      </c>
      <c r="AG66" s="4">
        <v>37.5</v>
      </c>
      <c r="AH66" s="4">
        <v>152</v>
      </c>
      <c r="AI66" s="4">
        <v>171</v>
      </c>
      <c r="AJ66" s="4">
        <v>74</v>
      </c>
      <c r="AK66" s="4">
        <v>72.75</v>
      </c>
      <c r="AL66" s="4">
        <v>1.56</v>
      </c>
      <c r="AM66" s="4">
        <v>14.6</v>
      </c>
      <c r="AN66" s="4">
        <v>35</v>
      </c>
      <c r="AO66" s="4">
        <v>17.100000000000001</v>
      </c>
      <c r="AP66" s="4">
        <v>22.34</v>
      </c>
      <c r="AQ66" s="4">
        <v>13.3</v>
      </c>
      <c r="AR66" s="4">
        <v>21.6</v>
      </c>
      <c r="AS66" s="4">
        <v>0.84</v>
      </c>
      <c r="AT66" s="4">
        <v>429.43</v>
      </c>
    </row>
    <row r="67" spans="1:46">
      <c r="A67" s="283">
        <v>12</v>
      </c>
      <c r="B67" s="3">
        <v>40022</v>
      </c>
      <c r="C67" s="4">
        <v>79.83</v>
      </c>
      <c r="D67" s="4">
        <v>31.5</v>
      </c>
      <c r="E67" s="4">
        <v>115</v>
      </c>
      <c r="F67" s="4">
        <v>23.6</v>
      </c>
      <c r="G67" s="4">
        <v>17.100000000000001</v>
      </c>
      <c r="H67" s="4">
        <v>18.3</v>
      </c>
      <c r="I67" s="4">
        <v>337.52</v>
      </c>
      <c r="J67" s="4">
        <v>20</v>
      </c>
      <c r="K67" s="4">
        <v>46.5</v>
      </c>
      <c r="L67" s="4">
        <v>26</v>
      </c>
      <c r="M67" s="4">
        <v>2.56</v>
      </c>
      <c r="N67" s="4">
        <v>18.3</v>
      </c>
      <c r="O67" s="4">
        <v>5.0999999999999996</v>
      </c>
      <c r="P67" s="4">
        <v>8.1</v>
      </c>
      <c r="Q67" s="4">
        <v>14.5</v>
      </c>
      <c r="R67" s="4">
        <v>75.25</v>
      </c>
      <c r="S67" s="4">
        <v>30</v>
      </c>
      <c r="T67" s="4">
        <v>17.7</v>
      </c>
      <c r="U67" s="4">
        <v>3.44</v>
      </c>
      <c r="V67" s="4">
        <v>2.74</v>
      </c>
      <c r="W67" s="4">
        <v>72</v>
      </c>
      <c r="X67" s="4">
        <v>9.9499999999999993</v>
      </c>
      <c r="Y67" s="4">
        <v>8</v>
      </c>
      <c r="Z67" s="4">
        <v>5.4</v>
      </c>
      <c r="AA67" s="4">
        <v>19</v>
      </c>
      <c r="AB67" s="4">
        <v>7.59</v>
      </c>
      <c r="AC67" s="4">
        <v>16.399999999999999</v>
      </c>
      <c r="AD67" s="4">
        <v>9.8000000000000007</v>
      </c>
      <c r="AE67" s="4">
        <v>139.5</v>
      </c>
      <c r="AF67" s="4">
        <v>238</v>
      </c>
      <c r="AG67" s="4">
        <v>37.5</v>
      </c>
      <c r="AH67" s="4">
        <v>174</v>
      </c>
      <c r="AI67" s="4">
        <v>177</v>
      </c>
      <c r="AJ67" s="4">
        <v>78</v>
      </c>
      <c r="AK67" s="4">
        <v>73</v>
      </c>
      <c r="AL67" s="4">
        <v>1.74</v>
      </c>
      <c r="AM67" s="4">
        <v>13.8</v>
      </c>
      <c r="AN67" s="4">
        <v>38</v>
      </c>
      <c r="AO67" s="4">
        <v>18.600000000000001</v>
      </c>
      <c r="AP67" s="4">
        <v>22.99</v>
      </c>
      <c r="AQ67" s="4">
        <v>13.7</v>
      </c>
      <c r="AR67" s="4">
        <v>22.9</v>
      </c>
      <c r="AS67" s="4">
        <v>0.82</v>
      </c>
      <c r="AT67" s="4">
        <v>448.58</v>
      </c>
    </row>
    <row r="68" spans="1:46">
      <c r="A68" s="283">
        <v>13</v>
      </c>
      <c r="B68" s="3">
        <v>40053</v>
      </c>
      <c r="C68" s="4">
        <v>77.59</v>
      </c>
      <c r="D68" s="4">
        <v>37.5</v>
      </c>
      <c r="E68" s="4">
        <v>112</v>
      </c>
      <c r="F68" s="4">
        <v>24.7</v>
      </c>
      <c r="G68" s="4">
        <v>18.600000000000001</v>
      </c>
      <c r="H68" s="4">
        <v>18.100000000000001</v>
      </c>
      <c r="I68" s="4">
        <v>401.85</v>
      </c>
      <c r="J68" s="4">
        <v>18.7</v>
      </c>
      <c r="K68" s="4">
        <v>45</v>
      </c>
      <c r="L68" s="4">
        <v>26.75</v>
      </c>
      <c r="M68" s="4">
        <v>3.52</v>
      </c>
      <c r="N68" s="4">
        <v>20.8</v>
      </c>
      <c r="O68" s="4">
        <v>5.85</v>
      </c>
      <c r="P68" s="4">
        <v>8.35</v>
      </c>
      <c r="Q68" s="4">
        <v>17.7</v>
      </c>
      <c r="R68" s="4">
        <v>78</v>
      </c>
      <c r="S68" s="4">
        <v>31.5</v>
      </c>
      <c r="T68" s="4">
        <v>19.7</v>
      </c>
      <c r="U68" s="4">
        <v>3.9</v>
      </c>
      <c r="V68" s="4">
        <v>2.86</v>
      </c>
      <c r="W68" s="4">
        <v>73</v>
      </c>
      <c r="X68" s="4">
        <v>12.7</v>
      </c>
      <c r="Y68" s="4">
        <v>7.9</v>
      </c>
      <c r="Z68" s="4">
        <v>6.05</v>
      </c>
      <c r="AA68" s="4">
        <v>19.399999999999999</v>
      </c>
      <c r="AB68" s="4">
        <v>9.64</v>
      </c>
      <c r="AC68" s="4">
        <v>16.600000000000001</v>
      </c>
      <c r="AD68" s="4">
        <v>9.9</v>
      </c>
      <c r="AE68" s="4">
        <v>142</v>
      </c>
      <c r="AF68" s="4">
        <v>247</v>
      </c>
      <c r="AG68" s="4">
        <v>37.25</v>
      </c>
      <c r="AH68" s="4">
        <v>194.5</v>
      </c>
      <c r="AI68" s="4">
        <v>213</v>
      </c>
      <c r="AJ68" s="4">
        <v>76.75</v>
      </c>
      <c r="AK68" s="4">
        <v>70.5</v>
      </c>
      <c r="AL68" s="4">
        <v>1.79</v>
      </c>
      <c r="AM68" s="4">
        <v>20.100000000000001</v>
      </c>
      <c r="AN68" s="4">
        <v>40.75</v>
      </c>
      <c r="AO68" s="4">
        <v>18</v>
      </c>
      <c r="AP68" s="4">
        <v>24.54</v>
      </c>
      <c r="AQ68" s="4">
        <v>14.3</v>
      </c>
      <c r="AR68" s="4">
        <v>23.1</v>
      </c>
      <c r="AS68" s="4">
        <v>1.06</v>
      </c>
      <c r="AT68" s="4">
        <v>470.69</v>
      </c>
    </row>
    <row r="69" spans="1:46">
      <c r="A69" s="283">
        <v>14</v>
      </c>
      <c r="B69" s="3">
        <v>40084</v>
      </c>
      <c r="C69" s="4">
        <v>83.64</v>
      </c>
      <c r="D69" s="4">
        <v>41.75</v>
      </c>
      <c r="E69" s="4">
        <v>117</v>
      </c>
      <c r="F69" s="4">
        <v>24.2</v>
      </c>
      <c r="G69" s="4">
        <v>18.600000000000001</v>
      </c>
      <c r="H69" s="4">
        <v>18.8</v>
      </c>
      <c r="I69" s="4">
        <v>429.57</v>
      </c>
      <c r="J69" s="4">
        <v>22.2</v>
      </c>
      <c r="K69" s="4">
        <v>43.75</v>
      </c>
      <c r="L69" s="4">
        <v>26.75</v>
      </c>
      <c r="M69" s="4">
        <v>3.44</v>
      </c>
      <c r="N69" s="4">
        <v>22.8</v>
      </c>
      <c r="O69" s="4">
        <v>7.6</v>
      </c>
      <c r="P69" s="4">
        <v>9.8000000000000007</v>
      </c>
      <c r="Q69" s="4">
        <v>17.2</v>
      </c>
      <c r="R69" s="4">
        <v>76.25</v>
      </c>
      <c r="S69" s="4">
        <v>34</v>
      </c>
      <c r="T69" s="4">
        <v>18.7</v>
      </c>
      <c r="U69" s="4">
        <v>4.4400000000000004</v>
      </c>
      <c r="V69" s="4">
        <v>3.74</v>
      </c>
      <c r="W69" s="4">
        <v>79.25</v>
      </c>
      <c r="X69" s="4">
        <v>13.4</v>
      </c>
      <c r="Y69" s="4">
        <v>8.3699999999999992</v>
      </c>
      <c r="Z69" s="4">
        <v>6.4</v>
      </c>
      <c r="AA69" s="4">
        <v>23.9</v>
      </c>
      <c r="AB69" s="4">
        <v>11.36</v>
      </c>
      <c r="AC69" s="4">
        <v>17.8</v>
      </c>
      <c r="AD69" s="4">
        <v>11.5</v>
      </c>
      <c r="AE69" s="4">
        <v>145</v>
      </c>
      <c r="AF69" s="4">
        <v>257</v>
      </c>
      <c r="AG69" s="4">
        <v>37.75</v>
      </c>
      <c r="AH69" s="4">
        <v>224</v>
      </c>
      <c r="AI69" s="4">
        <v>227</v>
      </c>
      <c r="AJ69" s="4">
        <v>82.75</v>
      </c>
      <c r="AK69" s="4">
        <v>72.5</v>
      </c>
      <c r="AL69" s="4">
        <v>2.02</v>
      </c>
      <c r="AM69" s="4">
        <v>22</v>
      </c>
      <c r="AN69" s="4">
        <v>45.5</v>
      </c>
      <c r="AO69" s="4">
        <v>18.3</v>
      </c>
      <c r="AP69" s="4">
        <v>24.07</v>
      </c>
      <c r="AQ69" s="4">
        <v>17.100000000000001</v>
      </c>
      <c r="AR69" s="4">
        <v>26</v>
      </c>
      <c r="AS69" s="4">
        <v>1.17</v>
      </c>
      <c r="AT69" s="4">
        <v>505.42</v>
      </c>
    </row>
    <row r="70" spans="1:46">
      <c r="A70" s="283">
        <v>15</v>
      </c>
      <c r="B70" s="3">
        <v>40114</v>
      </c>
      <c r="C70" s="4">
        <v>79.38</v>
      </c>
      <c r="D70" s="4">
        <v>39</v>
      </c>
      <c r="E70" s="4">
        <v>113</v>
      </c>
      <c r="F70" s="4">
        <v>24.9</v>
      </c>
      <c r="G70" s="4">
        <v>18.5</v>
      </c>
      <c r="H70" s="4">
        <v>18.600000000000001</v>
      </c>
      <c r="I70" s="4">
        <v>435.5</v>
      </c>
      <c r="J70" s="4">
        <v>21.9</v>
      </c>
      <c r="K70" s="4">
        <v>41.75</v>
      </c>
      <c r="L70" s="4">
        <v>29</v>
      </c>
      <c r="M70" s="4">
        <v>3.56</v>
      </c>
      <c r="N70" s="4">
        <v>22</v>
      </c>
      <c r="O70" s="4">
        <v>9.25</v>
      </c>
      <c r="P70" s="4">
        <v>9.35</v>
      </c>
      <c r="Q70" s="4">
        <v>17.600000000000001</v>
      </c>
      <c r="R70" s="4">
        <v>75.5</v>
      </c>
      <c r="S70" s="4">
        <v>32.25</v>
      </c>
      <c r="T70" s="4">
        <v>18.7</v>
      </c>
      <c r="U70" s="4">
        <v>3.98</v>
      </c>
      <c r="V70" s="4">
        <v>3.3</v>
      </c>
      <c r="W70" s="4">
        <v>81.75</v>
      </c>
      <c r="X70" s="4">
        <v>13</v>
      </c>
      <c r="Y70" s="4">
        <v>8.61</v>
      </c>
      <c r="Z70" s="4">
        <v>6</v>
      </c>
      <c r="AA70" s="4">
        <v>23.3</v>
      </c>
      <c r="AB70" s="4">
        <v>9.4499999999999993</v>
      </c>
      <c r="AC70" s="4">
        <v>18.7</v>
      </c>
      <c r="AD70" s="4">
        <v>16.2</v>
      </c>
      <c r="AE70" s="4">
        <v>151.5</v>
      </c>
      <c r="AF70" s="4">
        <v>251</v>
      </c>
      <c r="AG70" s="4">
        <v>37.75</v>
      </c>
      <c r="AH70" s="4">
        <v>210</v>
      </c>
      <c r="AI70" s="4">
        <v>226</v>
      </c>
      <c r="AJ70" s="4">
        <v>80.5</v>
      </c>
      <c r="AK70" s="4">
        <v>83</v>
      </c>
      <c r="AL70" s="4">
        <v>2.14</v>
      </c>
      <c r="AM70" s="4">
        <v>20.9</v>
      </c>
      <c r="AN70" s="4">
        <v>43.75</v>
      </c>
      <c r="AO70" s="4">
        <v>18.399999999999999</v>
      </c>
      <c r="AP70" s="4">
        <v>26.17</v>
      </c>
      <c r="AQ70" s="4">
        <v>20.3</v>
      </c>
      <c r="AR70" s="4">
        <v>27.75</v>
      </c>
      <c r="AS70" s="4">
        <v>1.17</v>
      </c>
      <c r="AT70" s="4">
        <v>498.36</v>
      </c>
    </row>
    <row r="71" spans="1:46">
      <c r="A71" s="283">
        <v>16</v>
      </c>
      <c r="B71" s="3">
        <v>40145</v>
      </c>
      <c r="C71" s="4">
        <v>72.209999999999994</v>
      </c>
      <c r="D71" s="4">
        <v>36.75</v>
      </c>
      <c r="E71" s="4">
        <v>111.5</v>
      </c>
      <c r="F71" s="4">
        <v>24.3</v>
      </c>
      <c r="G71" s="4">
        <v>19.3</v>
      </c>
      <c r="H71" s="4">
        <v>19.8</v>
      </c>
      <c r="I71" s="4">
        <v>512.71</v>
      </c>
      <c r="J71" s="4">
        <v>22.2</v>
      </c>
      <c r="K71" s="4">
        <v>42</v>
      </c>
      <c r="L71" s="4">
        <v>28.5</v>
      </c>
      <c r="M71" s="4">
        <v>2.96</v>
      </c>
      <c r="N71" s="4">
        <v>20.2</v>
      </c>
      <c r="O71" s="4">
        <v>10.199999999999999</v>
      </c>
      <c r="P71" s="4">
        <v>10.4</v>
      </c>
      <c r="Q71" s="4">
        <v>17.899999999999999</v>
      </c>
      <c r="R71" s="4">
        <v>78.25</v>
      </c>
      <c r="S71" s="4">
        <v>31</v>
      </c>
      <c r="T71" s="4">
        <v>19.5</v>
      </c>
      <c r="U71" s="4">
        <v>3.7199999999999998</v>
      </c>
      <c r="V71" s="4">
        <v>2.8</v>
      </c>
      <c r="W71" s="4">
        <v>81.25</v>
      </c>
      <c r="X71" s="4">
        <v>13.2</v>
      </c>
      <c r="Y71" s="4">
        <v>8.51</v>
      </c>
      <c r="Z71" s="4">
        <v>5.95</v>
      </c>
      <c r="AA71" s="4">
        <v>22.7</v>
      </c>
      <c r="AB71" s="4">
        <v>9.82</v>
      </c>
      <c r="AC71" s="4">
        <v>17.600000000000001</v>
      </c>
      <c r="AD71" s="4">
        <v>15.6</v>
      </c>
      <c r="AE71" s="4">
        <v>127.5</v>
      </c>
      <c r="AF71" s="4">
        <v>222</v>
      </c>
      <c r="AG71" s="4">
        <v>36.75</v>
      </c>
      <c r="AH71" s="4">
        <v>222</v>
      </c>
      <c r="AI71" s="4">
        <v>225</v>
      </c>
      <c r="AJ71" s="4">
        <v>78.5</v>
      </c>
      <c r="AK71" s="4">
        <v>79.25</v>
      </c>
      <c r="AL71" s="4">
        <v>1.75</v>
      </c>
      <c r="AM71" s="4">
        <v>16.8</v>
      </c>
      <c r="AN71" s="4">
        <v>39.75</v>
      </c>
      <c r="AO71" s="4">
        <v>18.100000000000001</v>
      </c>
      <c r="AP71" s="4">
        <v>25.47</v>
      </c>
      <c r="AQ71" s="4">
        <v>21.1</v>
      </c>
      <c r="AR71" s="4">
        <v>26.25</v>
      </c>
      <c r="AS71" s="4">
        <v>1.07</v>
      </c>
      <c r="AT71" s="4">
        <v>476.19</v>
      </c>
    </row>
    <row r="72" spans="1:46">
      <c r="A72" s="283">
        <v>17</v>
      </c>
      <c r="B72" s="3">
        <v>40175</v>
      </c>
      <c r="C72" s="4">
        <v>76.239999999999995</v>
      </c>
      <c r="D72" s="4">
        <v>40</v>
      </c>
      <c r="E72" s="4">
        <v>116</v>
      </c>
      <c r="F72" s="4">
        <v>25.5</v>
      </c>
      <c r="G72" s="4">
        <v>20.9</v>
      </c>
      <c r="H72" s="4">
        <v>22.1</v>
      </c>
      <c r="I72" s="4">
        <v>570.12</v>
      </c>
      <c r="J72" s="4">
        <v>25.25</v>
      </c>
      <c r="K72" s="4">
        <v>43.25</v>
      </c>
      <c r="L72" s="4">
        <v>29.75</v>
      </c>
      <c r="M72" s="4">
        <v>3.12</v>
      </c>
      <c r="N72" s="4">
        <v>20.3</v>
      </c>
      <c r="O72" s="4">
        <v>11.2</v>
      </c>
      <c r="P72" s="4">
        <v>12.05</v>
      </c>
      <c r="Q72" s="4">
        <v>18.899999999999999</v>
      </c>
      <c r="R72" s="4">
        <v>78.25</v>
      </c>
      <c r="S72" s="4">
        <v>32.5</v>
      </c>
      <c r="T72" s="4">
        <v>21.3</v>
      </c>
      <c r="U72" s="4">
        <v>4.4400000000000004</v>
      </c>
      <c r="V72" s="4">
        <v>2.98</v>
      </c>
      <c r="W72" s="4">
        <v>84.75</v>
      </c>
      <c r="X72" s="4">
        <v>15.1</v>
      </c>
      <c r="Y72" s="4">
        <v>9.27</v>
      </c>
      <c r="Z72" s="4">
        <v>6.45</v>
      </c>
      <c r="AA72" s="4">
        <v>23.9</v>
      </c>
      <c r="AB72" s="4">
        <v>10.27</v>
      </c>
      <c r="AC72" s="4">
        <v>18.399999999999999</v>
      </c>
      <c r="AD72" s="4">
        <v>17.5</v>
      </c>
      <c r="AE72" s="4">
        <v>146.5</v>
      </c>
      <c r="AF72" s="4">
        <v>244</v>
      </c>
      <c r="AG72" s="4">
        <v>35.25</v>
      </c>
      <c r="AH72" s="4">
        <v>237</v>
      </c>
      <c r="AI72" s="4">
        <v>235</v>
      </c>
      <c r="AJ72" s="4">
        <v>85.5</v>
      </c>
      <c r="AK72" s="4">
        <v>89</v>
      </c>
      <c r="AL72" s="4">
        <v>1.99</v>
      </c>
      <c r="AM72" s="4">
        <v>19.3</v>
      </c>
      <c r="AN72" s="4">
        <v>43.5</v>
      </c>
      <c r="AO72" s="4">
        <v>18.8</v>
      </c>
      <c r="AP72" s="4">
        <v>26.17</v>
      </c>
      <c r="AQ72" s="4">
        <v>22.4</v>
      </c>
      <c r="AR72" s="4">
        <v>27.25</v>
      </c>
      <c r="AS72" s="4">
        <v>1.26</v>
      </c>
      <c r="AT72" s="4">
        <v>519.62</v>
      </c>
    </row>
    <row r="73" spans="1:46">
      <c r="A73" s="283">
        <v>18</v>
      </c>
      <c r="B73" s="3">
        <v>40206</v>
      </c>
      <c r="C73" s="4">
        <v>74.22</v>
      </c>
      <c r="D73" s="4">
        <v>38</v>
      </c>
      <c r="E73" s="4">
        <v>112</v>
      </c>
      <c r="F73" s="4">
        <v>23.8</v>
      </c>
      <c r="G73" s="4">
        <v>19.7</v>
      </c>
      <c r="H73" s="4">
        <v>19</v>
      </c>
      <c r="I73" s="4">
        <v>524.59</v>
      </c>
      <c r="J73" s="4">
        <v>24.2</v>
      </c>
      <c r="K73" s="4">
        <v>42</v>
      </c>
      <c r="L73" s="4">
        <v>28.5</v>
      </c>
      <c r="M73" s="4">
        <v>2.96</v>
      </c>
      <c r="N73" s="4">
        <v>18.8</v>
      </c>
      <c r="O73" s="4">
        <v>11.2</v>
      </c>
      <c r="P73" s="4">
        <v>11.4</v>
      </c>
      <c r="Q73" s="4">
        <v>17.2</v>
      </c>
      <c r="R73" s="4">
        <v>78.5</v>
      </c>
      <c r="S73" s="4">
        <v>31.25</v>
      </c>
      <c r="T73" s="4">
        <v>20.6</v>
      </c>
      <c r="U73" s="4">
        <v>4.26</v>
      </c>
      <c r="V73" s="4">
        <v>2.66</v>
      </c>
      <c r="W73" s="4">
        <v>81.5</v>
      </c>
      <c r="X73" s="4">
        <v>14.4</v>
      </c>
      <c r="Y73" s="4">
        <v>8.94</v>
      </c>
      <c r="Z73" s="4">
        <v>5.45</v>
      </c>
      <c r="AA73" s="4">
        <v>22.4</v>
      </c>
      <c r="AB73" s="4">
        <v>9.82</v>
      </c>
      <c r="AC73" s="4">
        <v>18.899999999999999</v>
      </c>
      <c r="AD73" s="4">
        <v>16.7</v>
      </c>
      <c r="AE73" s="4">
        <v>131.5</v>
      </c>
      <c r="AF73" s="4">
        <v>220</v>
      </c>
      <c r="AG73" s="4">
        <v>34.5</v>
      </c>
      <c r="AH73" s="4">
        <v>217</v>
      </c>
      <c r="AI73" s="4">
        <v>224</v>
      </c>
      <c r="AJ73" s="4">
        <v>79.5</v>
      </c>
      <c r="AK73" s="4">
        <v>86</v>
      </c>
      <c r="AL73" s="4">
        <v>1.8</v>
      </c>
      <c r="AM73" s="4">
        <v>16.899999999999999</v>
      </c>
      <c r="AN73" s="4">
        <v>40</v>
      </c>
      <c r="AO73" s="4">
        <v>18</v>
      </c>
      <c r="AP73" s="4">
        <v>29.91</v>
      </c>
      <c r="AQ73" s="4">
        <v>18.899999999999999</v>
      </c>
      <c r="AR73" s="4">
        <v>26</v>
      </c>
      <c r="AS73" s="4">
        <v>1.23</v>
      </c>
      <c r="AT73" s="4">
        <v>485.54</v>
      </c>
    </row>
    <row r="74" spans="1:46">
      <c r="A74" s="283">
        <v>19</v>
      </c>
      <c r="B74" s="3">
        <v>40237</v>
      </c>
      <c r="C74" s="4">
        <v>78.930000000000007</v>
      </c>
      <c r="D74" s="4">
        <v>38.75</v>
      </c>
      <c r="E74" s="4">
        <v>116.5</v>
      </c>
      <c r="F74" s="4">
        <v>24.6</v>
      </c>
      <c r="G74" s="4">
        <v>20.8</v>
      </c>
      <c r="H74" s="4">
        <v>20.5</v>
      </c>
      <c r="I74" s="4">
        <v>544.38</v>
      </c>
      <c r="J74" s="4">
        <v>23</v>
      </c>
      <c r="K74" s="4">
        <v>40.75</v>
      </c>
      <c r="L74" s="4">
        <v>31</v>
      </c>
      <c r="M74" s="4">
        <v>3</v>
      </c>
      <c r="N74" s="4">
        <v>18.899999999999999</v>
      </c>
      <c r="O74" s="4">
        <v>12.3</v>
      </c>
      <c r="P74" s="4">
        <v>11.8</v>
      </c>
      <c r="Q74" s="4">
        <v>18.7</v>
      </c>
      <c r="R74" s="4">
        <v>81.25</v>
      </c>
      <c r="S74" s="4">
        <v>33.25</v>
      </c>
      <c r="T74" s="4">
        <v>21.5</v>
      </c>
      <c r="U74" s="4">
        <v>4.4000000000000004</v>
      </c>
      <c r="V74" s="4">
        <v>2.66</v>
      </c>
      <c r="W74" s="4">
        <v>86.5</v>
      </c>
      <c r="X74" s="4">
        <v>13.6</v>
      </c>
      <c r="Y74" s="4">
        <v>9.41</v>
      </c>
      <c r="Z74" s="4">
        <v>5.95</v>
      </c>
      <c r="AA74" s="4">
        <v>23.6</v>
      </c>
      <c r="AB74" s="4">
        <v>10.18</v>
      </c>
      <c r="AC74" s="4">
        <v>18.3</v>
      </c>
      <c r="AD74" s="4">
        <v>16.8</v>
      </c>
      <c r="AE74" s="4">
        <v>135</v>
      </c>
      <c r="AF74" s="4">
        <v>232</v>
      </c>
      <c r="AG74" s="4">
        <v>35.5</v>
      </c>
      <c r="AH74" s="4">
        <v>223</v>
      </c>
      <c r="AI74" s="4">
        <v>226</v>
      </c>
      <c r="AJ74" s="4">
        <v>84</v>
      </c>
      <c r="AK74" s="4">
        <v>89</v>
      </c>
      <c r="AL74" s="4">
        <v>1.75</v>
      </c>
      <c r="AM74" s="4">
        <v>22.8</v>
      </c>
      <c r="AN74" s="4">
        <v>43.25</v>
      </c>
      <c r="AO74" s="4">
        <v>18.3</v>
      </c>
      <c r="AP74" s="4">
        <v>32.25</v>
      </c>
      <c r="AQ74" s="4">
        <v>20.100000000000001</v>
      </c>
      <c r="AR74" s="4">
        <v>24.1</v>
      </c>
      <c r="AS74" s="4">
        <v>1.31</v>
      </c>
      <c r="AT74" s="4">
        <v>507.68</v>
      </c>
    </row>
    <row r="75" spans="1:46">
      <c r="A75" s="283">
        <v>20</v>
      </c>
      <c r="B75" s="3">
        <v>40265</v>
      </c>
      <c r="C75" s="4">
        <v>77.14</v>
      </c>
      <c r="D75" s="4">
        <v>38.5</v>
      </c>
      <c r="E75" s="4">
        <v>135</v>
      </c>
      <c r="F75" s="4">
        <v>25</v>
      </c>
      <c r="G75" s="4">
        <v>20.2</v>
      </c>
      <c r="H75" s="4">
        <v>21</v>
      </c>
      <c r="I75" s="4">
        <v>595.85</v>
      </c>
      <c r="J75" s="4">
        <v>24.1</v>
      </c>
      <c r="K75" s="4">
        <v>50.25</v>
      </c>
      <c r="L75" s="4">
        <v>31</v>
      </c>
      <c r="M75" s="4">
        <v>2.96</v>
      </c>
      <c r="N75" s="4">
        <v>20.9</v>
      </c>
      <c r="O75" s="4">
        <v>14.8</v>
      </c>
      <c r="P75" s="4">
        <v>13.63</v>
      </c>
      <c r="Q75" s="4">
        <v>18.899999999999999</v>
      </c>
      <c r="R75" s="4">
        <v>79.25</v>
      </c>
      <c r="S75" s="4">
        <v>37</v>
      </c>
      <c r="T75" s="4">
        <v>21.9</v>
      </c>
      <c r="U75" s="4">
        <v>4.7</v>
      </c>
      <c r="V75" s="4">
        <v>2.56</v>
      </c>
      <c r="W75" s="4">
        <v>98</v>
      </c>
      <c r="X75" s="4">
        <v>11.6</v>
      </c>
      <c r="Y75" s="4">
        <v>10.82</v>
      </c>
      <c r="Z75" s="4">
        <v>6.35</v>
      </c>
      <c r="AA75" s="4">
        <v>23.2</v>
      </c>
      <c r="AB75" s="4">
        <v>9.91</v>
      </c>
      <c r="AC75" s="4">
        <v>18.899999999999999</v>
      </c>
      <c r="AD75" s="4">
        <v>17.399999999999999</v>
      </c>
      <c r="AE75" s="4">
        <v>146</v>
      </c>
      <c r="AF75" s="4">
        <v>251</v>
      </c>
      <c r="AG75" s="4">
        <v>36.25</v>
      </c>
      <c r="AH75" s="4">
        <v>249</v>
      </c>
      <c r="AI75" s="4">
        <v>228</v>
      </c>
      <c r="AJ75" s="4">
        <v>93.5</v>
      </c>
      <c r="AK75" s="4">
        <v>93</v>
      </c>
      <c r="AL75" s="4">
        <v>1.88</v>
      </c>
      <c r="AM75" s="4">
        <v>28.25</v>
      </c>
      <c r="AN75" s="4">
        <v>48.25</v>
      </c>
      <c r="AO75" s="4">
        <v>18.899999999999999</v>
      </c>
      <c r="AP75" s="4">
        <v>33.42</v>
      </c>
      <c r="AQ75" s="4">
        <v>24.5</v>
      </c>
      <c r="AR75" s="4">
        <v>24.4</v>
      </c>
      <c r="AS75" s="4">
        <v>1.42</v>
      </c>
      <c r="AT75" s="4">
        <v>550.29</v>
      </c>
    </row>
    <row r="76" spans="1:46">
      <c r="A76" s="283">
        <v>21</v>
      </c>
      <c r="B76" s="3">
        <v>40296</v>
      </c>
      <c r="C76" s="4">
        <v>69.87</v>
      </c>
      <c r="D76" s="4">
        <v>33.75</v>
      </c>
      <c r="E76" s="4">
        <v>113</v>
      </c>
      <c r="F76" s="4">
        <v>24.8</v>
      </c>
      <c r="G76" s="4">
        <v>19.100000000000001</v>
      </c>
      <c r="H76" s="4">
        <v>19</v>
      </c>
      <c r="I76" s="4">
        <v>607.73</v>
      </c>
      <c r="J76" s="4">
        <v>23.5</v>
      </c>
      <c r="K76" s="4">
        <v>45</v>
      </c>
      <c r="L76" s="4">
        <v>30.25</v>
      </c>
      <c r="M76" s="4">
        <v>2.98</v>
      </c>
      <c r="N76" s="4">
        <v>18.8</v>
      </c>
      <c r="O76" s="4">
        <v>15.3</v>
      </c>
      <c r="P76" s="4">
        <v>14</v>
      </c>
      <c r="Q76" s="4">
        <v>21.2</v>
      </c>
      <c r="R76" s="4">
        <v>79.25</v>
      </c>
      <c r="S76" s="4">
        <v>36.5</v>
      </c>
      <c r="T76" s="4">
        <v>23</v>
      </c>
      <c r="U76" s="4">
        <v>4.28</v>
      </c>
      <c r="V76" s="4">
        <v>2.46</v>
      </c>
      <c r="W76" s="4">
        <v>89.75</v>
      </c>
      <c r="X76" s="4">
        <v>11.2</v>
      </c>
      <c r="Y76" s="4">
        <v>11.48</v>
      </c>
      <c r="Z76" s="4">
        <v>5.05</v>
      </c>
      <c r="AA76" s="4">
        <v>22.6</v>
      </c>
      <c r="AB76" s="4">
        <v>8.82</v>
      </c>
      <c r="AC76" s="4">
        <v>18.399999999999999</v>
      </c>
      <c r="AD76" s="4">
        <v>14.5</v>
      </c>
      <c r="AE76" s="4">
        <v>148.5</v>
      </c>
      <c r="AF76" s="4">
        <v>250</v>
      </c>
      <c r="AG76" s="4">
        <v>36.25</v>
      </c>
      <c r="AH76" s="4">
        <v>258</v>
      </c>
      <c r="AI76" s="4">
        <v>212</v>
      </c>
      <c r="AJ76" s="4">
        <v>79.5</v>
      </c>
      <c r="AK76" s="4">
        <v>96</v>
      </c>
      <c r="AL76" s="4">
        <v>1.71</v>
      </c>
      <c r="AM76" s="4">
        <v>24.5</v>
      </c>
      <c r="AN76" s="4">
        <v>46.5</v>
      </c>
      <c r="AO76" s="4">
        <v>17.8</v>
      </c>
      <c r="AP76" s="4">
        <v>35.28</v>
      </c>
      <c r="AQ76" s="4">
        <v>22.2</v>
      </c>
      <c r="AR76" s="4">
        <v>23.4</v>
      </c>
      <c r="AS76" s="4">
        <v>1.29</v>
      </c>
      <c r="AT76" s="4">
        <v>528.20000000000005</v>
      </c>
    </row>
    <row r="77" spans="1:46">
      <c r="A77" s="283">
        <v>22</v>
      </c>
      <c r="B77" s="3">
        <v>40326</v>
      </c>
      <c r="C77" s="4">
        <v>69.87</v>
      </c>
      <c r="D77" s="4">
        <v>32.75</v>
      </c>
      <c r="E77" s="4">
        <v>113.5</v>
      </c>
      <c r="F77" s="4">
        <v>26</v>
      </c>
      <c r="G77" s="4">
        <v>18</v>
      </c>
      <c r="H77" s="4">
        <v>18.100000000000001</v>
      </c>
      <c r="I77" s="4">
        <v>568.14</v>
      </c>
      <c r="J77" s="4">
        <v>23.5</v>
      </c>
      <c r="K77" s="4">
        <v>46.75</v>
      </c>
      <c r="L77" s="4">
        <v>31</v>
      </c>
      <c r="M77" s="4">
        <v>2.94</v>
      </c>
      <c r="N77" s="4">
        <v>19</v>
      </c>
      <c r="O77" s="4">
        <v>17.399999999999999</v>
      </c>
      <c r="P77" s="4">
        <v>13.63</v>
      </c>
      <c r="Q77" s="4">
        <v>20.399999999999999</v>
      </c>
      <c r="R77" s="4">
        <v>78.5</v>
      </c>
      <c r="S77" s="4">
        <v>35</v>
      </c>
      <c r="T77" s="4">
        <v>24</v>
      </c>
      <c r="U77" s="4">
        <v>4.32</v>
      </c>
      <c r="V77" s="4">
        <v>2.56</v>
      </c>
      <c r="W77" s="4">
        <v>85.5</v>
      </c>
      <c r="X77" s="4">
        <v>11</v>
      </c>
      <c r="Y77" s="4">
        <v>10.44</v>
      </c>
      <c r="Z77" s="4">
        <v>4.78</v>
      </c>
      <c r="AA77" s="4">
        <v>23</v>
      </c>
      <c r="AB77" s="4">
        <v>8.5500000000000007</v>
      </c>
      <c r="AC77" s="4">
        <v>18.2</v>
      </c>
      <c r="AD77" s="4">
        <v>14.7</v>
      </c>
      <c r="AE77" s="4">
        <v>142.5</v>
      </c>
      <c r="AF77" s="4">
        <v>242</v>
      </c>
      <c r="AG77" s="4">
        <v>36</v>
      </c>
      <c r="AH77" s="4">
        <v>239</v>
      </c>
      <c r="AI77" s="4">
        <v>208</v>
      </c>
      <c r="AJ77" s="4">
        <v>79.75</v>
      </c>
      <c r="AK77" s="4">
        <v>98.5</v>
      </c>
      <c r="AL77" s="4">
        <v>1.63</v>
      </c>
      <c r="AM77" s="4">
        <v>23.2</v>
      </c>
      <c r="AN77" s="4">
        <v>43.5</v>
      </c>
      <c r="AO77" s="4">
        <v>17.899999999999999</v>
      </c>
      <c r="AP77" s="4">
        <v>38.090000000000003</v>
      </c>
      <c r="AQ77" s="4">
        <v>23.5</v>
      </c>
      <c r="AR77" s="4">
        <v>23.3</v>
      </c>
      <c r="AS77" s="4">
        <v>1.33</v>
      </c>
      <c r="AT77" s="4">
        <v>514.04999999999995</v>
      </c>
    </row>
    <row r="78" spans="1:46">
      <c r="A78" s="283">
        <v>23</v>
      </c>
      <c r="B78" s="3">
        <v>40357</v>
      </c>
      <c r="C78" s="4">
        <v>79.55</v>
      </c>
      <c r="D78" s="4">
        <v>34.75</v>
      </c>
      <c r="E78" s="4">
        <v>125.5</v>
      </c>
      <c r="F78" s="4">
        <v>30.25</v>
      </c>
      <c r="G78" s="4">
        <v>17.5</v>
      </c>
      <c r="H78" s="4">
        <v>19.8</v>
      </c>
      <c r="I78" s="4">
        <v>611.69000000000005</v>
      </c>
      <c r="J78" s="4">
        <v>26.75</v>
      </c>
      <c r="K78" s="4">
        <v>56.75</v>
      </c>
      <c r="L78" s="4">
        <v>32.25</v>
      </c>
      <c r="M78" s="4">
        <v>3.7800000000000002</v>
      </c>
      <c r="N78" s="4">
        <v>20.100000000000001</v>
      </c>
      <c r="O78" s="4">
        <v>20.3</v>
      </c>
      <c r="P78" s="4">
        <v>14.38</v>
      </c>
      <c r="Q78" s="4">
        <v>23.9</v>
      </c>
      <c r="R78" s="4">
        <v>81.75</v>
      </c>
      <c r="S78" s="4">
        <v>37.75</v>
      </c>
      <c r="T78" s="4">
        <v>27.25</v>
      </c>
      <c r="U78" s="4">
        <v>4.18</v>
      </c>
      <c r="V78" s="4">
        <v>2.94</v>
      </c>
      <c r="W78" s="4">
        <v>91.75</v>
      </c>
      <c r="X78" s="4">
        <v>12.2</v>
      </c>
      <c r="Y78" s="4">
        <v>12.14</v>
      </c>
      <c r="Z78" s="4">
        <v>5.5</v>
      </c>
      <c r="AA78" s="4">
        <v>24.1</v>
      </c>
      <c r="AB78" s="4">
        <v>9.09</v>
      </c>
      <c r="AC78" s="4">
        <v>18.600000000000001</v>
      </c>
      <c r="AD78" s="4">
        <v>17.7</v>
      </c>
      <c r="AE78" s="4">
        <v>146.5</v>
      </c>
      <c r="AF78" s="4">
        <v>254</v>
      </c>
      <c r="AG78" s="4">
        <v>36.25</v>
      </c>
      <c r="AH78" s="4">
        <v>266</v>
      </c>
      <c r="AI78" s="4">
        <v>216</v>
      </c>
      <c r="AJ78" s="4">
        <v>82.5</v>
      </c>
      <c r="AK78" s="4">
        <v>111.5</v>
      </c>
      <c r="AL78" s="4">
        <v>1.65</v>
      </c>
      <c r="AM78" s="4">
        <v>26.25</v>
      </c>
      <c r="AN78" s="4">
        <v>45.25</v>
      </c>
      <c r="AO78" s="4">
        <v>17.8</v>
      </c>
      <c r="AP78" s="4">
        <v>42.06</v>
      </c>
      <c r="AQ78" s="4">
        <v>29.75</v>
      </c>
      <c r="AR78" s="4">
        <v>23.6</v>
      </c>
      <c r="AS78" s="4">
        <v>1.42</v>
      </c>
      <c r="AT78" s="4">
        <v>555.14</v>
      </c>
    </row>
    <row r="79" spans="1:46">
      <c r="A79" s="283">
        <v>24</v>
      </c>
      <c r="B79" s="3">
        <v>40387</v>
      </c>
      <c r="C79" s="4">
        <v>87.34</v>
      </c>
      <c r="D79" s="4">
        <v>39.25</v>
      </c>
      <c r="E79" s="4">
        <v>141</v>
      </c>
      <c r="F79" s="4">
        <v>28.5</v>
      </c>
      <c r="G79" s="4">
        <v>18.100000000000001</v>
      </c>
      <c r="H79" s="4">
        <v>21.1</v>
      </c>
      <c r="I79" s="4">
        <v>615.65</v>
      </c>
      <c r="J79" s="4">
        <v>29.5</v>
      </c>
      <c r="K79" s="4">
        <v>56</v>
      </c>
      <c r="L79" s="4">
        <v>29</v>
      </c>
      <c r="M79" s="4">
        <v>3.54</v>
      </c>
      <c r="N79" s="4">
        <v>22.9</v>
      </c>
      <c r="O79" s="4">
        <v>24.3</v>
      </c>
      <c r="P79" s="4">
        <v>15.38</v>
      </c>
      <c r="Q79" s="4">
        <v>24.9</v>
      </c>
      <c r="R79" s="4">
        <v>86.5</v>
      </c>
      <c r="S79" s="4">
        <v>38.25</v>
      </c>
      <c r="T79" s="4">
        <v>27.5</v>
      </c>
      <c r="U79" s="4">
        <v>3.9</v>
      </c>
      <c r="V79" s="4">
        <v>2.86</v>
      </c>
      <c r="W79" s="4">
        <v>102</v>
      </c>
      <c r="X79" s="4">
        <v>11.4</v>
      </c>
      <c r="Y79" s="4">
        <v>12.51</v>
      </c>
      <c r="Z79" s="4">
        <v>5.7</v>
      </c>
      <c r="AA79" s="4">
        <v>25.75</v>
      </c>
      <c r="AB79" s="4">
        <v>10.09</v>
      </c>
      <c r="AC79" s="4">
        <v>18.2</v>
      </c>
      <c r="AD79" s="4">
        <v>21.8</v>
      </c>
      <c r="AE79" s="4">
        <v>149</v>
      </c>
      <c r="AF79" s="4">
        <v>256</v>
      </c>
      <c r="AG79" s="4">
        <v>37.75</v>
      </c>
      <c r="AH79" s="4">
        <v>266</v>
      </c>
      <c r="AI79" s="4">
        <v>220</v>
      </c>
      <c r="AJ79" s="4">
        <v>90.5</v>
      </c>
      <c r="AK79" s="4">
        <v>116</v>
      </c>
      <c r="AL79" s="4">
        <v>1.63</v>
      </c>
      <c r="AM79" s="4">
        <v>34.5</v>
      </c>
      <c r="AN79" s="4">
        <v>44</v>
      </c>
      <c r="AO79" s="4">
        <v>18.600000000000001</v>
      </c>
      <c r="AP79" s="4">
        <v>43.7</v>
      </c>
      <c r="AQ79" s="4">
        <v>29.5</v>
      </c>
      <c r="AR79" s="4">
        <v>23.9</v>
      </c>
      <c r="AS79" s="4">
        <v>2</v>
      </c>
      <c r="AT79" s="4">
        <v>584.21</v>
      </c>
    </row>
    <row r="80" spans="1:46">
      <c r="A80" s="283">
        <v>25</v>
      </c>
      <c r="B80" s="3">
        <v>40418</v>
      </c>
      <c r="C80" s="4">
        <v>88.28</v>
      </c>
      <c r="D80" s="4">
        <v>38.75</v>
      </c>
      <c r="E80" s="4">
        <v>142</v>
      </c>
      <c r="F80" s="4">
        <v>33</v>
      </c>
      <c r="G80" s="4">
        <v>18.7</v>
      </c>
      <c r="H80" s="4">
        <v>20.5</v>
      </c>
      <c r="I80" s="4">
        <v>601.79</v>
      </c>
      <c r="J80" s="4">
        <v>30.25</v>
      </c>
      <c r="K80" s="4">
        <v>59</v>
      </c>
      <c r="L80" s="4">
        <v>33</v>
      </c>
      <c r="M80" s="4">
        <v>3.7800000000000002</v>
      </c>
      <c r="N80" s="4">
        <v>28.5</v>
      </c>
      <c r="O80" s="4">
        <v>26</v>
      </c>
      <c r="P80" s="4">
        <v>20</v>
      </c>
      <c r="Q80" s="4">
        <v>28.75</v>
      </c>
      <c r="R80" s="4">
        <v>93.25</v>
      </c>
      <c r="S80" s="4">
        <v>44.75</v>
      </c>
      <c r="T80" s="4">
        <v>26.25</v>
      </c>
      <c r="U80" s="4">
        <v>4.04</v>
      </c>
      <c r="V80" s="4">
        <v>3.4</v>
      </c>
      <c r="W80" s="4">
        <v>106</v>
      </c>
      <c r="X80" s="4">
        <v>12.2</v>
      </c>
      <c r="Y80" s="4">
        <v>12.14</v>
      </c>
      <c r="Z80" s="4">
        <v>6.1</v>
      </c>
      <c r="AA80" s="4">
        <v>26.25</v>
      </c>
      <c r="AB80" s="4">
        <v>11.09</v>
      </c>
      <c r="AC80" s="4">
        <v>18.3</v>
      </c>
      <c r="AD80" s="4">
        <v>23.5</v>
      </c>
      <c r="AE80" s="4">
        <v>141</v>
      </c>
      <c r="AF80" s="4">
        <v>258</v>
      </c>
      <c r="AG80" s="4">
        <v>38</v>
      </c>
      <c r="AH80" s="4">
        <v>273</v>
      </c>
      <c r="AI80" s="4">
        <v>223</v>
      </c>
      <c r="AJ80" s="4">
        <v>92</v>
      </c>
      <c r="AK80" s="4">
        <v>126</v>
      </c>
      <c r="AL80" s="4">
        <v>1.92</v>
      </c>
      <c r="AM80" s="4">
        <v>40</v>
      </c>
      <c r="AN80" s="4">
        <v>44.75</v>
      </c>
      <c r="AO80" s="4">
        <v>18.100000000000001</v>
      </c>
      <c r="AP80" s="4">
        <v>60.29</v>
      </c>
      <c r="AQ80" s="4">
        <v>34.25</v>
      </c>
      <c r="AR80" s="4">
        <v>24.3</v>
      </c>
      <c r="AS80" s="4">
        <v>2.56</v>
      </c>
      <c r="AT80" s="4">
        <v>611.42999999999995</v>
      </c>
    </row>
    <row r="81" spans="1:46">
      <c r="A81" s="283">
        <v>26</v>
      </c>
      <c r="B81" s="3">
        <v>40449</v>
      </c>
      <c r="C81" s="4">
        <v>88.52</v>
      </c>
      <c r="D81" s="4">
        <v>41.25</v>
      </c>
      <c r="E81" s="4">
        <v>153</v>
      </c>
      <c r="F81" s="4">
        <v>38.5</v>
      </c>
      <c r="G81" s="4">
        <v>18.600000000000001</v>
      </c>
      <c r="H81" s="4">
        <v>23.5</v>
      </c>
      <c r="I81" s="4">
        <v>696.81</v>
      </c>
      <c r="J81" s="4">
        <v>39.25</v>
      </c>
      <c r="K81" s="4">
        <v>64</v>
      </c>
      <c r="L81" s="4">
        <v>34.25</v>
      </c>
      <c r="M81" s="4">
        <v>4.12</v>
      </c>
      <c r="N81" s="4">
        <v>29</v>
      </c>
      <c r="O81" s="4">
        <v>24.8</v>
      </c>
      <c r="P81" s="4">
        <v>21.38</v>
      </c>
      <c r="Q81" s="4">
        <v>28.25</v>
      </c>
      <c r="R81" s="4">
        <v>91.5</v>
      </c>
      <c r="S81" s="4">
        <v>43.25</v>
      </c>
      <c r="T81" s="4">
        <v>25.25</v>
      </c>
      <c r="U81" s="4">
        <v>4.0999999999999996</v>
      </c>
      <c r="V81" s="4">
        <v>5</v>
      </c>
      <c r="W81" s="4">
        <v>114.5</v>
      </c>
      <c r="X81" s="4">
        <v>10.7</v>
      </c>
      <c r="Y81" s="4">
        <v>15.15</v>
      </c>
      <c r="Z81" s="4">
        <v>7.55</v>
      </c>
      <c r="AA81" s="4">
        <v>30</v>
      </c>
      <c r="AB81" s="4">
        <v>12</v>
      </c>
      <c r="AC81" s="4">
        <v>18.2</v>
      </c>
      <c r="AD81" s="4">
        <v>24.1</v>
      </c>
      <c r="AE81" s="4">
        <v>149</v>
      </c>
      <c r="AF81" s="4">
        <v>292</v>
      </c>
      <c r="AG81" s="4">
        <v>37.75</v>
      </c>
      <c r="AH81" s="4">
        <v>329</v>
      </c>
      <c r="AI81" s="4">
        <v>241</v>
      </c>
      <c r="AJ81" s="4">
        <v>102.5</v>
      </c>
      <c r="AK81" s="4">
        <v>144</v>
      </c>
      <c r="AL81" s="4">
        <v>1.88</v>
      </c>
      <c r="AM81" s="4">
        <v>38.25</v>
      </c>
      <c r="AN81" s="4">
        <v>50.25</v>
      </c>
      <c r="AO81" s="4">
        <v>18.7</v>
      </c>
      <c r="AP81" s="4">
        <v>53.88</v>
      </c>
      <c r="AQ81" s="4">
        <v>39.5</v>
      </c>
      <c r="AR81" s="4">
        <v>24.1</v>
      </c>
      <c r="AS81" s="4">
        <v>2.48</v>
      </c>
      <c r="AT81" s="4">
        <v>660.84</v>
      </c>
    </row>
    <row r="82" spans="1:46">
      <c r="A82" s="283">
        <v>27</v>
      </c>
      <c r="B82" s="3">
        <v>40479</v>
      </c>
      <c r="C82" s="4">
        <v>85.21</v>
      </c>
      <c r="D82" s="4">
        <v>39.25</v>
      </c>
      <c r="E82" s="4">
        <v>151</v>
      </c>
      <c r="F82" s="4">
        <v>39</v>
      </c>
      <c r="G82" s="4">
        <v>18.7</v>
      </c>
      <c r="H82" s="4">
        <v>23.9</v>
      </c>
      <c r="I82" s="4">
        <v>775.99</v>
      </c>
      <c r="J82" s="4">
        <v>33</v>
      </c>
      <c r="K82" s="4">
        <v>63</v>
      </c>
      <c r="L82" s="4">
        <v>34</v>
      </c>
      <c r="M82" s="4">
        <v>3.74</v>
      </c>
      <c r="N82" s="4">
        <v>28.25</v>
      </c>
      <c r="O82" s="4">
        <v>23.3</v>
      </c>
      <c r="P82" s="4">
        <v>22.13</v>
      </c>
      <c r="Q82" s="4">
        <v>30.5</v>
      </c>
      <c r="R82" s="4">
        <v>96.75</v>
      </c>
      <c r="S82" s="4">
        <v>49.25</v>
      </c>
      <c r="T82" s="4">
        <v>25.25</v>
      </c>
      <c r="U82" s="4">
        <v>4.28</v>
      </c>
      <c r="V82" s="4">
        <v>4.82</v>
      </c>
      <c r="W82" s="4">
        <v>117.5</v>
      </c>
      <c r="X82" s="4">
        <v>12</v>
      </c>
      <c r="Y82" s="4">
        <v>16.09</v>
      </c>
      <c r="Z82" s="4">
        <v>7.1</v>
      </c>
      <c r="AA82" s="4">
        <v>28.25</v>
      </c>
      <c r="AB82" s="4">
        <v>11.09</v>
      </c>
      <c r="AC82" s="4">
        <v>19.100000000000001</v>
      </c>
      <c r="AD82" s="4">
        <v>22.4</v>
      </c>
      <c r="AE82" s="4">
        <v>171</v>
      </c>
      <c r="AF82" s="4">
        <v>302</v>
      </c>
      <c r="AG82" s="4">
        <v>37</v>
      </c>
      <c r="AH82" s="4">
        <v>321</v>
      </c>
      <c r="AI82" s="4">
        <v>232</v>
      </c>
      <c r="AJ82" s="4">
        <v>103.5</v>
      </c>
      <c r="AK82" s="4">
        <v>136</v>
      </c>
      <c r="AL82" s="4">
        <v>1.8199999999999998</v>
      </c>
      <c r="AM82" s="4">
        <v>46.75</v>
      </c>
      <c r="AN82" s="4">
        <v>52.75</v>
      </c>
      <c r="AO82" s="4">
        <v>18.7</v>
      </c>
      <c r="AP82" s="4">
        <v>53.41</v>
      </c>
      <c r="AQ82" s="4">
        <v>38.75</v>
      </c>
      <c r="AR82" s="4">
        <v>23.6</v>
      </c>
      <c r="AS82" s="4">
        <v>2.2800000000000002</v>
      </c>
      <c r="AT82" s="4">
        <v>680.47</v>
      </c>
    </row>
    <row r="83" spans="1:46">
      <c r="A83" s="283">
        <v>28</v>
      </c>
      <c r="B83" s="3">
        <v>40510</v>
      </c>
      <c r="C83" s="4">
        <v>89.5</v>
      </c>
      <c r="D83" s="4">
        <v>38.25</v>
      </c>
      <c r="E83" s="4">
        <v>147</v>
      </c>
      <c r="F83" s="4">
        <v>37.25</v>
      </c>
      <c r="G83" s="4">
        <v>18.5</v>
      </c>
      <c r="H83" s="4">
        <v>23.1</v>
      </c>
      <c r="I83" s="4">
        <v>756.19</v>
      </c>
      <c r="J83" s="4">
        <v>32.75</v>
      </c>
      <c r="K83" s="4">
        <v>72.25</v>
      </c>
      <c r="L83" s="4">
        <v>32.75</v>
      </c>
      <c r="M83" s="4">
        <v>3.08</v>
      </c>
      <c r="N83" s="4">
        <v>28.25</v>
      </c>
      <c r="O83" s="4">
        <v>24.6</v>
      </c>
      <c r="P83" s="4">
        <v>20.38</v>
      </c>
      <c r="Q83" s="4">
        <v>32.25</v>
      </c>
      <c r="R83" s="4">
        <v>94.25</v>
      </c>
      <c r="S83" s="4">
        <v>48.75</v>
      </c>
      <c r="T83" s="4">
        <v>25.5</v>
      </c>
      <c r="U83" s="4">
        <v>4.54</v>
      </c>
      <c r="V83" s="4">
        <v>4.5600000000000005</v>
      </c>
      <c r="W83" s="4">
        <v>116</v>
      </c>
      <c r="X83" s="4">
        <v>13.2</v>
      </c>
      <c r="Y83" s="4">
        <v>15.33</v>
      </c>
      <c r="Z83" s="4">
        <v>6.45</v>
      </c>
      <c r="AA83" s="4">
        <v>28</v>
      </c>
      <c r="AB83" s="4">
        <v>10.55</v>
      </c>
      <c r="AC83" s="4">
        <v>18.3</v>
      </c>
      <c r="AD83" s="4">
        <v>20</v>
      </c>
      <c r="AE83" s="4">
        <v>168</v>
      </c>
      <c r="AF83" s="4">
        <v>303</v>
      </c>
      <c r="AG83" s="4">
        <v>34.75</v>
      </c>
      <c r="AH83" s="4">
        <v>322</v>
      </c>
      <c r="AI83" s="4">
        <v>226</v>
      </c>
      <c r="AJ83" s="4">
        <v>104</v>
      </c>
      <c r="AK83" s="4">
        <v>147.5</v>
      </c>
      <c r="AL83" s="4">
        <v>1.6099999999999999</v>
      </c>
      <c r="AM83" s="4">
        <v>48.25</v>
      </c>
      <c r="AN83" s="4">
        <v>65</v>
      </c>
      <c r="AO83" s="4">
        <v>23</v>
      </c>
      <c r="AP83" s="4">
        <v>51.77</v>
      </c>
      <c r="AQ83" s="4">
        <v>37</v>
      </c>
      <c r="AR83" s="4">
        <v>20.6</v>
      </c>
      <c r="AS83" s="4">
        <v>2.14</v>
      </c>
      <c r="AT83" s="4">
        <v>688.3</v>
      </c>
    </row>
    <row r="84" spans="1:46">
      <c r="A84" s="283">
        <v>29</v>
      </c>
      <c r="B84" s="3">
        <v>40540</v>
      </c>
      <c r="C84" s="4">
        <v>84.25</v>
      </c>
      <c r="D84" s="4">
        <v>39</v>
      </c>
      <c r="E84" s="4">
        <v>145</v>
      </c>
      <c r="F84" s="4">
        <v>46</v>
      </c>
      <c r="G84" s="4">
        <v>19.3</v>
      </c>
      <c r="H84" s="4">
        <v>25.25</v>
      </c>
      <c r="I84" s="4">
        <v>772.03</v>
      </c>
      <c r="J84" s="4">
        <v>32.5</v>
      </c>
      <c r="K84" s="4">
        <v>85.5</v>
      </c>
      <c r="L84" s="4">
        <v>32</v>
      </c>
      <c r="M84" s="4">
        <v>3.46</v>
      </c>
      <c r="N84" s="4">
        <v>28</v>
      </c>
      <c r="O84" s="4">
        <v>24.7</v>
      </c>
      <c r="P84" s="4">
        <v>20.13</v>
      </c>
      <c r="Q84" s="4">
        <v>34.5</v>
      </c>
      <c r="R84" s="4">
        <v>102.5</v>
      </c>
      <c r="S84" s="4">
        <v>46.25</v>
      </c>
      <c r="T84" s="4">
        <v>26.25</v>
      </c>
      <c r="U84" s="4">
        <v>6.3</v>
      </c>
      <c r="V84" s="4">
        <v>4.5600000000000005</v>
      </c>
      <c r="W84" s="4">
        <v>124.5</v>
      </c>
      <c r="X84" s="4">
        <v>13.2</v>
      </c>
      <c r="Y84" s="4">
        <v>16.559999999999999</v>
      </c>
      <c r="Z84" s="4">
        <v>6.55</v>
      </c>
      <c r="AA84" s="4">
        <v>28.75</v>
      </c>
      <c r="AB84" s="4">
        <v>10.91</v>
      </c>
      <c r="AC84" s="4">
        <v>18.399999999999999</v>
      </c>
      <c r="AD84" s="4">
        <v>18.399999999999999</v>
      </c>
      <c r="AE84" s="4">
        <v>169</v>
      </c>
      <c r="AF84" s="4">
        <v>320</v>
      </c>
      <c r="AG84" s="4">
        <v>38.25</v>
      </c>
      <c r="AH84" s="4">
        <v>336</v>
      </c>
      <c r="AI84" s="4">
        <v>233</v>
      </c>
      <c r="AJ84" s="4">
        <v>104</v>
      </c>
      <c r="AK84" s="4">
        <v>155.5</v>
      </c>
      <c r="AL84" s="4">
        <v>1.6400000000000001</v>
      </c>
      <c r="AM84" s="4">
        <v>47.75</v>
      </c>
      <c r="AN84" s="4">
        <v>77.25</v>
      </c>
      <c r="AO84" s="4">
        <v>28</v>
      </c>
      <c r="AP84" s="4">
        <v>50.35</v>
      </c>
      <c r="AQ84" s="4">
        <v>35.75</v>
      </c>
      <c r="AR84" s="4">
        <v>20.9</v>
      </c>
      <c r="AS84" s="4">
        <v>2.36</v>
      </c>
      <c r="AT84" s="4">
        <v>717.43</v>
      </c>
    </row>
    <row r="85" spans="1:46">
      <c r="A85" s="283">
        <v>30</v>
      </c>
      <c r="B85" s="3">
        <v>40571</v>
      </c>
      <c r="C85" s="4">
        <v>80.25</v>
      </c>
      <c r="D85" s="4">
        <v>33.75</v>
      </c>
      <c r="E85" s="4">
        <v>153.5</v>
      </c>
      <c r="F85" s="4">
        <v>49.25</v>
      </c>
      <c r="G85" s="4">
        <v>19</v>
      </c>
      <c r="H85" s="4">
        <v>25.5</v>
      </c>
      <c r="I85" s="4">
        <v>750.56</v>
      </c>
      <c r="J85" s="4">
        <v>32</v>
      </c>
      <c r="K85" s="4">
        <v>81.25</v>
      </c>
      <c r="L85" s="4">
        <v>32.75</v>
      </c>
      <c r="M85" s="4">
        <v>3.38</v>
      </c>
      <c r="N85" s="4">
        <v>26.5</v>
      </c>
      <c r="O85" s="4">
        <v>22.3</v>
      </c>
      <c r="P85" s="4">
        <v>19.25</v>
      </c>
      <c r="Q85" s="4">
        <v>29.5</v>
      </c>
      <c r="R85" s="4">
        <v>108.5</v>
      </c>
      <c r="S85" s="4">
        <v>41.25</v>
      </c>
      <c r="T85" s="4">
        <v>25.75</v>
      </c>
      <c r="U85" s="4">
        <v>5.3</v>
      </c>
      <c r="V85" s="4">
        <v>3.82</v>
      </c>
      <c r="W85" s="4">
        <v>118.5</v>
      </c>
      <c r="X85" s="4">
        <v>14</v>
      </c>
      <c r="Y85" s="4">
        <v>15.81</v>
      </c>
      <c r="Z85" s="4">
        <v>5.7</v>
      </c>
      <c r="AA85" s="4">
        <v>30</v>
      </c>
      <c r="AB85" s="4">
        <v>9.82</v>
      </c>
      <c r="AC85" s="4">
        <v>18.3</v>
      </c>
      <c r="AD85" s="4">
        <v>16.899999999999999</v>
      </c>
      <c r="AE85" s="4">
        <v>158.5</v>
      </c>
      <c r="AF85" s="4">
        <v>342</v>
      </c>
      <c r="AG85" s="4">
        <v>40.25</v>
      </c>
      <c r="AH85" s="4">
        <v>316</v>
      </c>
      <c r="AI85" s="4">
        <v>221</v>
      </c>
      <c r="AJ85" s="4">
        <v>96</v>
      </c>
      <c r="AK85" s="4">
        <v>147</v>
      </c>
      <c r="AL85" s="4">
        <v>1.47</v>
      </c>
      <c r="AM85" s="4">
        <v>40</v>
      </c>
      <c r="AN85" s="4">
        <v>69.75</v>
      </c>
      <c r="AO85" s="4">
        <v>25.5</v>
      </c>
      <c r="AP85" s="4">
        <v>44</v>
      </c>
      <c r="AQ85" s="4">
        <v>31.75</v>
      </c>
      <c r="AR85" s="4">
        <v>18.899999999999999</v>
      </c>
      <c r="AS85" s="4">
        <v>2.06</v>
      </c>
      <c r="AT85" s="4">
        <v>681.45</v>
      </c>
    </row>
    <row r="86" spans="1:46">
      <c r="A86" s="283">
        <v>31</v>
      </c>
      <c r="B86" s="3">
        <v>40602</v>
      </c>
      <c r="C86" s="4">
        <v>79.5</v>
      </c>
      <c r="D86" s="4">
        <v>33</v>
      </c>
      <c r="E86" s="4">
        <v>160</v>
      </c>
      <c r="F86" s="4">
        <v>49.25</v>
      </c>
      <c r="G86" s="4">
        <v>18.8</v>
      </c>
      <c r="H86" s="4">
        <v>24.7</v>
      </c>
      <c r="I86" s="4">
        <v>722.69</v>
      </c>
      <c r="J86" s="4">
        <v>33.5</v>
      </c>
      <c r="K86" s="4">
        <v>77</v>
      </c>
      <c r="L86" s="4">
        <v>33.25</v>
      </c>
      <c r="M86" s="4">
        <v>3.2800000000000002</v>
      </c>
      <c r="N86" s="4">
        <v>26.25</v>
      </c>
      <c r="O86" s="4">
        <v>23.8</v>
      </c>
      <c r="P86" s="4">
        <v>19.5</v>
      </c>
      <c r="Q86" s="4">
        <v>27.5</v>
      </c>
      <c r="R86" s="4">
        <v>99.5</v>
      </c>
      <c r="S86" s="4">
        <v>40.75</v>
      </c>
      <c r="T86" s="4">
        <v>25.5</v>
      </c>
      <c r="U86" s="4">
        <v>5.55</v>
      </c>
      <c r="V86" s="4">
        <v>3.68</v>
      </c>
      <c r="W86" s="4">
        <v>117.5</v>
      </c>
      <c r="X86" s="4">
        <v>12.7</v>
      </c>
      <c r="Y86" s="4">
        <v>15.43</v>
      </c>
      <c r="Z86" s="4">
        <v>5.6</v>
      </c>
      <c r="AA86" s="4">
        <v>29.5</v>
      </c>
      <c r="AB86" s="4">
        <v>9.5500000000000007</v>
      </c>
      <c r="AC86" s="4">
        <v>17.7</v>
      </c>
      <c r="AD86" s="4">
        <v>17.5</v>
      </c>
      <c r="AE86" s="4">
        <v>182</v>
      </c>
      <c r="AF86" s="4">
        <v>337</v>
      </c>
      <c r="AG86" s="4">
        <v>38.25</v>
      </c>
      <c r="AH86" s="4">
        <v>311</v>
      </c>
      <c r="AI86" s="4">
        <v>209</v>
      </c>
      <c r="AJ86" s="4">
        <v>102</v>
      </c>
      <c r="AK86" s="4">
        <v>139.5</v>
      </c>
      <c r="AL86" s="4">
        <v>1.35</v>
      </c>
      <c r="AM86" s="4">
        <v>38.5</v>
      </c>
      <c r="AN86" s="4">
        <v>73.75</v>
      </c>
      <c r="AO86" s="4">
        <v>24.9</v>
      </c>
      <c r="AP86" s="4">
        <v>39.299999999999997</v>
      </c>
      <c r="AQ86" s="4">
        <v>29.75</v>
      </c>
      <c r="AR86" s="4">
        <v>18.2</v>
      </c>
      <c r="AS86" s="4">
        <v>2.2800000000000002</v>
      </c>
      <c r="AT86" s="4">
        <v>690.89</v>
      </c>
    </row>
    <row r="87" spans="1:46">
      <c r="A87" s="283">
        <v>32</v>
      </c>
      <c r="B87" s="3">
        <v>40630</v>
      </c>
      <c r="C87" s="4">
        <v>89</v>
      </c>
      <c r="D87" s="4">
        <v>35.5</v>
      </c>
      <c r="E87" s="4">
        <v>165</v>
      </c>
      <c r="F87" s="4">
        <v>51</v>
      </c>
      <c r="G87" s="4">
        <v>18.8</v>
      </c>
      <c r="H87" s="4">
        <v>24</v>
      </c>
      <c r="I87" s="4">
        <v>752.55</v>
      </c>
      <c r="J87" s="4">
        <v>33.75</v>
      </c>
      <c r="K87" s="4">
        <v>75.75</v>
      </c>
      <c r="L87" s="4">
        <v>37.25</v>
      </c>
      <c r="M87" s="4">
        <v>3.06</v>
      </c>
      <c r="N87" s="4">
        <v>27</v>
      </c>
      <c r="O87" s="4">
        <v>25.25</v>
      </c>
      <c r="P87" s="4">
        <v>19.38</v>
      </c>
      <c r="Q87" s="4">
        <v>27.75</v>
      </c>
      <c r="R87" s="4">
        <v>93</v>
      </c>
      <c r="S87" s="4">
        <v>41.25</v>
      </c>
      <c r="T87" s="4">
        <v>23.8</v>
      </c>
      <c r="U87" s="4">
        <v>5.9</v>
      </c>
      <c r="V87" s="4">
        <v>3.8</v>
      </c>
      <c r="W87" s="4">
        <v>126.5</v>
      </c>
      <c r="X87" s="4">
        <v>14</v>
      </c>
      <c r="Y87" s="4">
        <v>17.5</v>
      </c>
      <c r="Z87" s="4">
        <v>6.1</v>
      </c>
      <c r="AA87" s="4">
        <v>29.25</v>
      </c>
      <c r="AB87" s="4">
        <v>10.55</v>
      </c>
      <c r="AC87" s="4">
        <v>18.100000000000001</v>
      </c>
      <c r="AD87" s="4">
        <v>18.3</v>
      </c>
      <c r="AE87" s="4">
        <v>181.5</v>
      </c>
      <c r="AF87" s="4">
        <v>346</v>
      </c>
      <c r="AG87" s="4">
        <v>37.75</v>
      </c>
      <c r="AH87" s="4">
        <v>348</v>
      </c>
      <c r="AI87" s="4">
        <v>207</v>
      </c>
      <c r="AJ87" s="4">
        <v>104.5</v>
      </c>
      <c r="AK87" s="4">
        <v>141</v>
      </c>
      <c r="AL87" s="4">
        <v>1.54</v>
      </c>
      <c r="AM87" s="4">
        <v>37.25</v>
      </c>
      <c r="AN87" s="4">
        <v>83.5</v>
      </c>
      <c r="AO87" s="4">
        <v>29.5</v>
      </c>
      <c r="AP87" s="4">
        <v>44.71</v>
      </c>
      <c r="AQ87" s="4">
        <v>32.5</v>
      </c>
      <c r="AR87" s="4">
        <v>19</v>
      </c>
      <c r="AS87" s="4">
        <v>2.36</v>
      </c>
      <c r="AT87" s="4">
        <v>724.52</v>
      </c>
    </row>
    <row r="88" spans="1:46">
      <c r="A88" s="283">
        <v>33</v>
      </c>
      <c r="B88" s="3">
        <v>40661</v>
      </c>
      <c r="C88" s="4">
        <v>91.75</v>
      </c>
      <c r="D88" s="4">
        <v>37.5</v>
      </c>
      <c r="E88" s="4">
        <v>171.5</v>
      </c>
      <c r="F88" s="4">
        <v>51.5</v>
      </c>
      <c r="G88" s="4">
        <v>17.899999999999999</v>
      </c>
      <c r="H88" s="4">
        <v>27.5</v>
      </c>
      <c r="I88" s="4">
        <v>746.58</v>
      </c>
      <c r="J88" s="4">
        <v>35.25</v>
      </c>
      <c r="K88" s="4">
        <v>86.5</v>
      </c>
      <c r="L88" s="4">
        <v>39</v>
      </c>
      <c r="M88" s="4">
        <v>3.34</v>
      </c>
      <c r="N88" s="4">
        <v>29</v>
      </c>
      <c r="O88" s="4">
        <v>30</v>
      </c>
      <c r="P88" s="4">
        <v>21.63</v>
      </c>
      <c r="Q88" s="4">
        <v>26.25</v>
      </c>
      <c r="R88" s="4">
        <v>94.5</v>
      </c>
      <c r="S88" s="4">
        <v>45.5</v>
      </c>
      <c r="T88" s="4">
        <v>24.8</v>
      </c>
      <c r="U88" s="4">
        <v>6.2</v>
      </c>
      <c r="V88" s="4">
        <v>4.4000000000000004</v>
      </c>
      <c r="W88" s="4">
        <v>125</v>
      </c>
      <c r="X88" s="4">
        <v>13.4</v>
      </c>
      <c r="Y88" s="4">
        <v>18.350000000000001</v>
      </c>
      <c r="Z88" s="4">
        <v>6.75</v>
      </c>
      <c r="AA88" s="4">
        <v>30.5</v>
      </c>
      <c r="AB88" s="4">
        <v>11.45</v>
      </c>
      <c r="AC88" s="4">
        <v>18.5</v>
      </c>
      <c r="AD88" s="4">
        <v>20.5</v>
      </c>
      <c r="AE88" s="4">
        <v>188.5</v>
      </c>
      <c r="AF88" s="4">
        <v>373</v>
      </c>
      <c r="AG88" s="4">
        <v>39.75</v>
      </c>
      <c r="AH88" s="4">
        <v>373</v>
      </c>
      <c r="AI88" s="4">
        <v>215</v>
      </c>
      <c r="AJ88" s="4">
        <v>116.5</v>
      </c>
      <c r="AK88" s="4">
        <v>164</v>
      </c>
      <c r="AL88" s="4">
        <v>1.5</v>
      </c>
      <c r="AM88" s="4">
        <v>39.5</v>
      </c>
      <c r="AN88" s="4">
        <v>84</v>
      </c>
      <c r="AO88" s="4">
        <v>28.25</v>
      </c>
      <c r="AP88" s="4">
        <v>43.53</v>
      </c>
      <c r="AQ88" s="4">
        <v>30.25</v>
      </c>
      <c r="AR88" s="4">
        <v>22.1</v>
      </c>
      <c r="AS88" s="4">
        <v>2.3199999999999998</v>
      </c>
      <c r="AT88" s="4">
        <v>769.91</v>
      </c>
    </row>
    <row r="89" spans="1:46">
      <c r="A89" s="283">
        <v>34</v>
      </c>
      <c r="B89" s="3">
        <v>40691</v>
      </c>
      <c r="C89" s="4">
        <v>95.25</v>
      </c>
      <c r="D89" s="4">
        <v>37.25</v>
      </c>
      <c r="E89" s="4">
        <v>161</v>
      </c>
      <c r="F89" s="4">
        <v>52.75</v>
      </c>
      <c r="G89" s="4">
        <v>18</v>
      </c>
      <c r="H89" s="4">
        <v>28</v>
      </c>
      <c r="I89" s="4">
        <v>746.58</v>
      </c>
      <c r="J89" s="4">
        <v>37.25</v>
      </c>
      <c r="K89" s="4">
        <v>88.75</v>
      </c>
      <c r="L89" s="4">
        <v>37.5</v>
      </c>
      <c r="M89" s="4">
        <v>3.26</v>
      </c>
      <c r="N89" s="4">
        <v>28.5</v>
      </c>
      <c r="O89" s="4">
        <v>30.75</v>
      </c>
      <c r="P89" s="4">
        <v>23</v>
      </c>
      <c r="Q89" s="4">
        <v>25.25</v>
      </c>
      <c r="R89" s="4">
        <v>94.25</v>
      </c>
      <c r="S89" s="4">
        <v>51</v>
      </c>
      <c r="T89" s="4">
        <v>24.4</v>
      </c>
      <c r="U89" s="4">
        <v>5.75</v>
      </c>
      <c r="V89" s="4">
        <v>3.74</v>
      </c>
      <c r="W89" s="4">
        <v>122</v>
      </c>
      <c r="X89" s="4">
        <v>13.1</v>
      </c>
      <c r="Y89" s="4">
        <v>17.78</v>
      </c>
      <c r="Z89" s="4">
        <v>6.35</v>
      </c>
      <c r="AA89" s="4">
        <v>30.5</v>
      </c>
      <c r="AB89" s="4">
        <v>11.09</v>
      </c>
      <c r="AC89" s="4">
        <v>18</v>
      </c>
      <c r="AD89" s="4">
        <v>18.8</v>
      </c>
      <c r="AE89" s="4">
        <v>172.5</v>
      </c>
      <c r="AF89" s="4">
        <v>354</v>
      </c>
      <c r="AG89" s="4">
        <v>43</v>
      </c>
      <c r="AH89" s="4">
        <v>357</v>
      </c>
      <c r="AI89" s="4">
        <v>219</v>
      </c>
      <c r="AJ89" s="4">
        <v>113.5</v>
      </c>
      <c r="AK89" s="4">
        <v>195.5</v>
      </c>
      <c r="AL89" s="4">
        <v>1.5</v>
      </c>
      <c r="AM89" s="4">
        <v>36.25</v>
      </c>
      <c r="AN89" s="4">
        <v>77.75</v>
      </c>
      <c r="AO89" s="4">
        <v>29</v>
      </c>
      <c r="AP89" s="4">
        <v>44.47</v>
      </c>
      <c r="AQ89" s="4">
        <v>31</v>
      </c>
      <c r="AR89" s="4">
        <v>22</v>
      </c>
      <c r="AS89" s="4">
        <v>2.06</v>
      </c>
      <c r="AT89" s="4">
        <v>749.28</v>
      </c>
    </row>
    <row r="90" spans="1:46">
      <c r="A90" s="283">
        <v>35</v>
      </c>
      <c r="B90" s="3">
        <v>40722</v>
      </c>
      <c r="C90" s="4">
        <v>100</v>
      </c>
      <c r="D90" s="4">
        <v>35</v>
      </c>
      <c r="E90" s="4">
        <v>152</v>
      </c>
      <c r="F90" s="4">
        <v>51.75</v>
      </c>
      <c r="G90" s="4">
        <v>17.7</v>
      </c>
      <c r="H90" s="4">
        <v>26.5</v>
      </c>
      <c r="I90" s="4">
        <v>690.83</v>
      </c>
      <c r="J90" s="4">
        <v>34</v>
      </c>
      <c r="K90" s="4">
        <v>89.75</v>
      </c>
      <c r="L90" s="4">
        <v>35.25</v>
      </c>
      <c r="M90" s="4">
        <v>3.26</v>
      </c>
      <c r="N90" s="4">
        <v>29.75</v>
      </c>
      <c r="O90" s="4">
        <v>28.5</v>
      </c>
      <c r="P90" s="4">
        <v>21.63</v>
      </c>
      <c r="Q90" s="4">
        <v>24.5</v>
      </c>
      <c r="R90" s="4">
        <v>90</v>
      </c>
      <c r="S90" s="4">
        <v>50</v>
      </c>
      <c r="T90" s="4">
        <v>23.1</v>
      </c>
      <c r="U90" s="4">
        <v>5.2</v>
      </c>
      <c r="V90" s="4">
        <v>3.5</v>
      </c>
      <c r="W90" s="4">
        <v>116.5</v>
      </c>
      <c r="X90" s="4">
        <v>13.5</v>
      </c>
      <c r="Y90" s="4">
        <v>16.93</v>
      </c>
      <c r="Z90" s="4">
        <v>5.65</v>
      </c>
      <c r="AA90" s="4">
        <v>28.25</v>
      </c>
      <c r="AB90" s="4">
        <v>10.36</v>
      </c>
      <c r="AC90" s="4">
        <v>14.6</v>
      </c>
      <c r="AD90" s="4">
        <v>17.600000000000001</v>
      </c>
      <c r="AE90" s="4">
        <v>166</v>
      </c>
      <c r="AF90" s="4">
        <v>324</v>
      </c>
      <c r="AG90" s="4">
        <v>40.75</v>
      </c>
      <c r="AH90" s="4">
        <v>340</v>
      </c>
      <c r="AI90" s="4">
        <v>212</v>
      </c>
      <c r="AJ90" s="4">
        <v>107</v>
      </c>
      <c r="AK90" s="4">
        <v>191.5</v>
      </c>
      <c r="AL90" s="4">
        <v>1.35</v>
      </c>
      <c r="AM90" s="4">
        <v>27.5</v>
      </c>
      <c r="AN90" s="4">
        <v>71.25</v>
      </c>
      <c r="AO90" s="4">
        <v>29</v>
      </c>
      <c r="AP90" s="4">
        <v>45.65</v>
      </c>
      <c r="AQ90" s="4">
        <v>28</v>
      </c>
      <c r="AR90" s="4">
        <v>18.8</v>
      </c>
      <c r="AS90" s="4">
        <v>1.98</v>
      </c>
      <c r="AT90" s="4">
        <v>707.33</v>
      </c>
    </row>
    <row r="91" spans="1:46">
      <c r="A91" s="283">
        <v>36</v>
      </c>
      <c r="B91" s="3">
        <v>40752</v>
      </c>
      <c r="C91" s="4">
        <v>115</v>
      </c>
      <c r="D91" s="4">
        <v>48.5</v>
      </c>
      <c r="E91" s="4">
        <v>173.5</v>
      </c>
      <c r="F91" s="4">
        <v>58</v>
      </c>
      <c r="G91" s="4">
        <v>18.399999999999999</v>
      </c>
      <c r="H91" s="4">
        <v>27.75</v>
      </c>
      <c r="I91" s="4">
        <v>738.62</v>
      </c>
      <c r="J91" s="4">
        <v>39.5</v>
      </c>
      <c r="K91" s="4">
        <v>120</v>
      </c>
      <c r="L91" s="4">
        <v>37.75</v>
      </c>
      <c r="M91" s="4">
        <v>3.38</v>
      </c>
      <c r="N91" s="4">
        <v>37</v>
      </c>
      <c r="O91" s="4">
        <v>31.25</v>
      </c>
      <c r="P91" s="4">
        <v>24.5</v>
      </c>
      <c r="Q91" s="4">
        <v>27</v>
      </c>
      <c r="R91" s="4">
        <v>95</v>
      </c>
      <c r="S91" s="4">
        <v>56.75</v>
      </c>
      <c r="T91" s="4">
        <v>24.8</v>
      </c>
      <c r="U91" s="4">
        <v>5.8</v>
      </c>
      <c r="V91" s="4">
        <v>4.6399999999999997</v>
      </c>
      <c r="W91" s="4">
        <v>141</v>
      </c>
      <c r="X91" s="4">
        <v>15.5</v>
      </c>
      <c r="Y91" s="4">
        <v>19.47</v>
      </c>
      <c r="Z91" s="4">
        <v>6.9</v>
      </c>
      <c r="AA91" s="4">
        <v>30.5</v>
      </c>
      <c r="AB91" s="4">
        <v>12.18</v>
      </c>
      <c r="AC91" s="4">
        <v>17.3</v>
      </c>
      <c r="AD91" s="4">
        <v>20.5</v>
      </c>
      <c r="AE91" s="4">
        <v>185.5</v>
      </c>
      <c r="AF91" s="4">
        <v>351</v>
      </c>
      <c r="AG91" s="4">
        <v>43</v>
      </c>
      <c r="AH91" s="4">
        <v>379</v>
      </c>
      <c r="AI91" s="4">
        <v>234</v>
      </c>
      <c r="AJ91" s="4">
        <v>127</v>
      </c>
      <c r="AK91" s="4">
        <v>233</v>
      </c>
      <c r="AL91" s="4">
        <v>1.42</v>
      </c>
      <c r="AM91" s="4">
        <v>28.5</v>
      </c>
      <c r="AN91" s="4">
        <v>78</v>
      </c>
      <c r="AO91" s="4">
        <v>30</v>
      </c>
      <c r="AP91" s="4">
        <v>52.71</v>
      </c>
      <c r="AQ91" s="4">
        <v>31</v>
      </c>
      <c r="AR91" s="4">
        <v>19.100000000000001</v>
      </c>
      <c r="AS91" s="4">
        <v>2.06</v>
      </c>
      <c r="AT91" s="4">
        <v>795.4</v>
      </c>
    </row>
    <row r="92" spans="1:46">
      <c r="A92" s="283">
        <v>37</v>
      </c>
      <c r="B92" s="3">
        <v>40783</v>
      </c>
      <c r="C92" s="4">
        <v>114</v>
      </c>
      <c r="D92" s="4">
        <v>45.5</v>
      </c>
      <c r="E92" s="4">
        <v>152</v>
      </c>
      <c r="F92" s="4">
        <v>63</v>
      </c>
      <c r="G92" s="4">
        <v>17.600000000000001</v>
      </c>
      <c r="H92" s="4">
        <v>24.7</v>
      </c>
      <c r="I92" s="4">
        <v>609.21</v>
      </c>
      <c r="J92" s="4">
        <v>39.5</v>
      </c>
      <c r="K92" s="4">
        <v>127.5</v>
      </c>
      <c r="L92" s="4">
        <v>36.25</v>
      </c>
      <c r="M92" s="4">
        <v>2.92</v>
      </c>
      <c r="N92" s="4">
        <v>37</v>
      </c>
      <c r="O92" s="4">
        <v>30.5</v>
      </c>
      <c r="P92" s="4">
        <v>25.38</v>
      </c>
      <c r="Q92" s="4">
        <v>20.100000000000001</v>
      </c>
      <c r="R92" s="4">
        <v>90</v>
      </c>
      <c r="S92" s="4">
        <v>54</v>
      </c>
      <c r="T92" s="4">
        <v>21.6</v>
      </c>
      <c r="U92" s="4">
        <v>4.58</v>
      </c>
      <c r="V92" s="4">
        <v>4.34</v>
      </c>
      <c r="W92" s="4">
        <v>125</v>
      </c>
      <c r="X92" s="4">
        <v>14.7</v>
      </c>
      <c r="Y92" s="4">
        <v>17.5</v>
      </c>
      <c r="Z92" s="4">
        <v>6.7</v>
      </c>
      <c r="AA92" s="4">
        <v>30.25</v>
      </c>
      <c r="AB92" s="4">
        <v>11.36</v>
      </c>
      <c r="AC92" s="4">
        <v>16.600000000000001</v>
      </c>
      <c r="AD92" s="4">
        <v>18.7</v>
      </c>
      <c r="AE92" s="4">
        <v>164.5</v>
      </c>
      <c r="AF92" s="4">
        <v>317</v>
      </c>
      <c r="AG92" s="4">
        <v>43.75</v>
      </c>
      <c r="AH92" s="4">
        <v>316</v>
      </c>
      <c r="AI92" s="4">
        <v>226</v>
      </c>
      <c r="AJ92" s="4">
        <v>114.5</v>
      </c>
      <c r="AK92" s="4">
        <v>245</v>
      </c>
      <c r="AL92" s="4">
        <v>1.18</v>
      </c>
      <c r="AM92" s="4">
        <v>24.9</v>
      </c>
      <c r="AN92" s="4">
        <v>63.75</v>
      </c>
      <c r="AO92" s="4">
        <v>27.5</v>
      </c>
      <c r="AP92" s="4">
        <v>51.3</v>
      </c>
      <c r="AQ92" s="4">
        <v>29.5</v>
      </c>
      <c r="AR92" s="4">
        <v>19.100000000000001</v>
      </c>
      <c r="AS92" s="4">
        <v>1.63</v>
      </c>
      <c r="AT92" s="4">
        <v>721.84</v>
      </c>
    </row>
    <row r="93" spans="1:46">
      <c r="A93" s="283">
        <v>38</v>
      </c>
      <c r="B93" s="3">
        <v>40814</v>
      </c>
      <c r="C93" s="4">
        <v>122</v>
      </c>
      <c r="D93" s="4">
        <v>39.25</v>
      </c>
      <c r="E93" s="4">
        <v>145</v>
      </c>
      <c r="F93" s="4">
        <v>63.75</v>
      </c>
      <c r="G93" s="4">
        <v>16.7</v>
      </c>
      <c r="H93" s="4">
        <v>20.399999999999999</v>
      </c>
      <c r="I93" s="4">
        <v>563.41999999999996</v>
      </c>
      <c r="J93" s="4">
        <v>38.75</v>
      </c>
      <c r="K93" s="4">
        <v>112</v>
      </c>
      <c r="L93" s="4">
        <v>38</v>
      </c>
      <c r="M93" s="4">
        <v>2.4</v>
      </c>
      <c r="N93" s="4">
        <v>34</v>
      </c>
      <c r="O93" s="4">
        <v>27.5</v>
      </c>
      <c r="P93" s="4">
        <v>23.38</v>
      </c>
      <c r="Q93" s="4">
        <v>19.8</v>
      </c>
      <c r="R93" s="4">
        <v>84.25</v>
      </c>
      <c r="S93" s="4">
        <v>47</v>
      </c>
      <c r="T93" s="4">
        <v>17</v>
      </c>
      <c r="U93" s="4">
        <v>3.64</v>
      </c>
      <c r="V93" s="4">
        <v>3.36</v>
      </c>
      <c r="W93" s="4">
        <v>117</v>
      </c>
      <c r="X93" s="4">
        <v>11</v>
      </c>
      <c r="Y93" s="4">
        <v>14.86</v>
      </c>
      <c r="Z93" s="4">
        <v>6.5</v>
      </c>
      <c r="AA93" s="4">
        <v>28</v>
      </c>
      <c r="AB93" s="4">
        <v>9.36</v>
      </c>
      <c r="AC93" s="4">
        <v>14.7</v>
      </c>
      <c r="AD93" s="4">
        <v>15.5</v>
      </c>
      <c r="AE93" s="4">
        <v>148.5</v>
      </c>
      <c r="AF93" s="4">
        <v>271</v>
      </c>
      <c r="AG93" s="4">
        <v>42.75</v>
      </c>
      <c r="AH93" s="4">
        <v>271</v>
      </c>
      <c r="AI93" s="4">
        <v>217</v>
      </c>
      <c r="AJ93" s="4">
        <v>108</v>
      </c>
      <c r="AK93" s="4">
        <v>221</v>
      </c>
      <c r="AL93" s="4">
        <v>0.89</v>
      </c>
      <c r="AM93" s="4">
        <v>21</v>
      </c>
      <c r="AN93" s="4">
        <v>51.75</v>
      </c>
      <c r="AO93" s="4">
        <v>22.5</v>
      </c>
      <c r="AP93" s="4">
        <v>49.88</v>
      </c>
      <c r="AQ93" s="4">
        <v>27.75</v>
      </c>
      <c r="AR93" s="4">
        <v>15.1</v>
      </c>
      <c r="AS93" s="4">
        <v>1.49</v>
      </c>
      <c r="AT93" s="4">
        <v>649.6</v>
      </c>
    </row>
    <row r="94" spans="1:46">
      <c r="A94" s="283">
        <v>39</v>
      </c>
      <c r="B94" s="3">
        <v>40844</v>
      </c>
      <c r="C94" s="4">
        <v>125</v>
      </c>
      <c r="D94" s="4">
        <v>38.25</v>
      </c>
      <c r="E94" s="4">
        <v>148.5</v>
      </c>
      <c r="F94" s="4">
        <v>66.75</v>
      </c>
      <c r="G94" s="4">
        <v>16.5</v>
      </c>
      <c r="H94" s="4">
        <v>20</v>
      </c>
      <c r="I94" s="4">
        <v>623.14</v>
      </c>
      <c r="J94" s="4">
        <v>37.5</v>
      </c>
      <c r="K94" s="4">
        <v>110.5</v>
      </c>
      <c r="L94" s="4">
        <v>39.75</v>
      </c>
      <c r="M94" s="4">
        <v>2.2800000000000002</v>
      </c>
      <c r="N94" s="4">
        <v>33</v>
      </c>
      <c r="O94" s="4">
        <v>30</v>
      </c>
      <c r="P94" s="4">
        <v>23.13</v>
      </c>
      <c r="Q94" s="4">
        <v>18.5</v>
      </c>
      <c r="R94" s="4">
        <v>83.5</v>
      </c>
      <c r="S94" s="4">
        <v>52.25</v>
      </c>
      <c r="T94" s="4">
        <v>16.399999999999999</v>
      </c>
      <c r="U94" s="4">
        <v>3.94</v>
      </c>
      <c r="V94" s="4">
        <v>3.7199999999999998</v>
      </c>
      <c r="W94" s="4">
        <v>123</v>
      </c>
      <c r="X94" s="4">
        <v>11.8</v>
      </c>
      <c r="Y94" s="4">
        <v>14.68</v>
      </c>
      <c r="Z94" s="4">
        <v>5.55</v>
      </c>
      <c r="AA94" s="4">
        <v>25</v>
      </c>
      <c r="AB94" s="4">
        <v>9.5500000000000007</v>
      </c>
      <c r="AC94" s="4">
        <v>14.8</v>
      </c>
      <c r="AD94" s="4">
        <v>10.9</v>
      </c>
      <c r="AE94" s="4">
        <v>163</v>
      </c>
      <c r="AF94" s="4">
        <v>312</v>
      </c>
      <c r="AG94" s="4">
        <v>40.5</v>
      </c>
      <c r="AH94" s="4">
        <v>315</v>
      </c>
      <c r="AI94" s="4">
        <v>232</v>
      </c>
      <c r="AJ94" s="4">
        <v>118</v>
      </c>
      <c r="AK94" s="4">
        <v>210</v>
      </c>
      <c r="AL94" s="4">
        <v>0.84</v>
      </c>
      <c r="AM94" s="4">
        <v>19.2</v>
      </c>
      <c r="AN94" s="4">
        <v>58.5</v>
      </c>
      <c r="AO94" s="4">
        <v>22.9</v>
      </c>
      <c r="AP94" s="4">
        <v>50.83</v>
      </c>
      <c r="AQ94" s="4">
        <v>24.7</v>
      </c>
      <c r="AR94" s="4">
        <v>15</v>
      </c>
      <c r="AS94" s="4">
        <v>1.35</v>
      </c>
      <c r="AT94" s="4">
        <v>691.99</v>
      </c>
    </row>
    <row r="95" spans="1:46">
      <c r="A95" s="283">
        <v>40</v>
      </c>
      <c r="B95" s="3">
        <v>40875</v>
      </c>
      <c r="C95" s="4">
        <v>140</v>
      </c>
      <c r="D95" s="4">
        <v>42.25</v>
      </c>
      <c r="E95" s="4">
        <v>141.5</v>
      </c>
      <c r="F95" s="4">
        <v>73.75</v>
      </c>
      <c r="G95" s="4">
        <v>17.2</v>
      </c>
      <c r="H95" s="4">
        <v>18.899999999999999</v>
      </c>
      <c r="I95" s="4">
        <v>545.5</v>
      </c>
      <c r="J95" s="4">
        <v>35.75</v>
      </c>
      <c r="K95" s="4">
        <v>118</v>
      </c>
      <c r="L95" s="4">
        <v>44</v>
      </c>
      <c r="M95" s="4">
        <v>2.36</v>
      </c>
      <c r="N95" s="4">
        <v>35.75</v>
      </c>
      <c r="O95" s="4">
        <v>32.25</v>
      </c>
      <c r="P95" s="4">
        <v>25</v>
      </c>
      <c r="Q95" s="4">
        <v>18.600000000000001</v>
      </c>
      <c r="R95" s="4">
        <v>87.5</v>
      </c>
      <c r="S95" s="4">
        <v>51.75</v>
      </c>
      <c r="T95" s="4">
        <v>19.100000000000001</v>
      </c>
      <c r="U95" s="4">
        <v>3.84</v>
      </c>
      <c r="V95" s="4">
        <v>3.62</v>
      </c>
      <c r="W95" s="4">
        <v>114.5</v>
      </c>
      <c r="X95" s="4">
        <v>11.8</v>
      </c>
      <c r="Y95" s="4">
        <v>13.55</v>
      </c>
      <c r="Z95" s="4">
        <v>5.9</v>
      </c>
      <c r="AA95" s="4">
        <v>25.75</v>
      </c>
      <c r="AB95" s="4">
        <v>9.73</v>
      </c>
      <c r="AC95" s="4">
        <v>15</v>
      </c>
      <c r="AD95" s="4">
        <v>10.7</v>
      </c>
      <c r="AE95" s="4">
        <v>159</v>
      </c>
      <c r="AF95" s="4">
        <v>302</v>
      </c>
      <c r="AG95" s="4">
        <v>42.25</v>
      </c>
      <c r="AH95" s="4">
        <v>318</v>
      </c>
      <c r="AI95" s="4">
        <v>248</v>
      </c>
      <c r="AJ95" s="4">
        <v>105</v>
      </c>
      <c r="AK95" s="4">
        <v>223</v>
      </c>
      <c r="AL95" s="4">
        <v>0.81</v>
      </c>
      <c r="AM95" s="4">
        <v>19.2</v>
      </c>
      <c r="AN95" s="4">
        <v>61.25</v>
      </c>
      <c r="AO95" s="4">
        <v>25.5</v>
      </c>
      <c r="AP95" s="4">
        <v>52.47</v>
      </c>
      <c r="AQ95" s="4">
        <v>25.5</v>
      </c>
      <c r="AR95" s="4">
        <v>17.100000000000001</v>
      </c>
      <c r="AS95" s="4">
        <v>1.35</v>
      </c>
      <c r="AT95" s="4">
        <v>689.41</v>
      </c>
    </row>
    <row r="96" spans="1:46">
      <c r="A96" s="283">
        <v>41</v>
      </c>
      <c r="B96" s="3">
        <v>40905</v>
      </c>
      <c r="C96" s="4">
        <v>143</v>
      </c>
      <c r="D96" s="4">
        <v>44.5</v>
      </c>
      <c r="E96" s="4">
        <v>152</v>
      </c>
      <c r="F96" s="4">
        <v>81</v>
      </c>
      <c r="G96" s="4">
        <v>18.2</v>
      </c>
      <c r="H96" s="4">
        <v>22.2</v>
      </c>
      <c r="I96" s="4">
        <v>537.54</v>
      </c>
      <c r="J96" s="4">
        <v>45.75</v>
      </c>
      <c r="K96" s="4">
        <v>119</v>
      </c>
      <c r="L96" s="4">
        <v>46.75</v>
      </c>
      <c r="M96" s="4">
        <v>2.54</v>
      </c>
      <c r="N96" s="4">
        <v>37.75</v>
      </c>
      <c r="O96" s="4">
        <v>32.75</v>
      </c>
      <c r="P96" s="4">
        <v>25.63</v>
      </c>
      <c r="Q96" s="4">
        <v>21.6</v>
      </c>
      <c r="R96" s="4">
        <v>96.25</v>
      </c>
      <c r="S96" s="4">
        <v>55.5</v>
      </c>
      <c r="T96" s="4">
        <v>19</v>
      </c>
      <c r="U96" s="4">
        <v>4.22</v>
      </c>
      <c r="V96" s="4">
        <v>3.7199999999999998</v>
      </c>
      <c r="W96" s="4">
        <v>122.5</v>
      </c>
      <c r="X96" s="4">
        <v>13.1</v>
      </c>
      <c r="Y96" s="4">
        <v>14.02</v>
      </c>
      <c r="Z96" s="4">
        <v>6.2</v>
      </c>
      <c r="AA96" s="4">
        <v>26.25</v>
      </c>
      <c r="AB96" s="4">
        <v>10.18</v>
      </c>
      <c r="AC96" s="4">
        <v>16.2</v>
      </c>
      <c r="AD96" s="4">
        <v>11.6</v>
      </c>
      <c r="AE96" s="4">
        <v>168</v>
      </c>
      <c r="AF96" s="4">
        <v>317</v>
      </c>
      <c r="AG96" s="4">
        <v>43.5</v>
      </c>
      <c r="AH96" s="4">
        <v>312</v>
      </c>
      <c r="AI96" s="4">
        <v>257</v>
      </c>
      <c r="AJ96" s="4">
        <v>115.5</v>
      </c>
      <c r="AK96" s="4">
        <v>237</v>
      </c>
      <c r="AL96" s="4">
        <v>0.84</v>
      </c>
      <c r="AM96" s="4">
        <v>20</v>
      </c>
      <c r="AN96" s="4">
        <v>59</v>
      </c>
      <c r="AO96" s="4">
        <v>29.25</v>
      </c>
      <c r="AP96" s="4">
        <v>54.83</v>
      </c>
      <c r="AQ96" s="4">
        <v>26.75</v>
      </c>
      <c r="AR96" s="4">
        <v>19.100000000000001</v>
      </c>
      <c r="AS96" s="4">
        <v>1.5899999999999999</v>
      </c>
      <c r="AT96" s="4">
        <v>721.87</v>
      </c>
    </row>
    <row r="97" spans="1:46">
      <c r="A97" s="283">
        <v>42</v>
      </c>
      <c r="B97" s="3">
        <v>40936</v>
      </c>
      <c r="C97" s="4">
        <v>152</v>
      </c>
      <c r="D97" s="4">
        <v>51.5</v>
      </c>
      <c r="E97" s="4">
        <v>152.5</v>
      </c>
      <c r="F97" s="4">
        <v>78</v>
      </c>
      <c r="G97" s="4">
        <v>18.5</v>
      </c>
      <c r="H97" s="4">
        <v>22.1</v>
      </c>
      <c r="I97" s="4">
        <v>593.28</v>
      </c>
      <c r="J97" s="4">
        <v>42.25</v>
      </c>
      <c r="K97" s="4">
        <v>117.5</v>
      </c>
      <c r="L97" s="4">
        <v>47.25</v>
      </c>
      <c r="M97" s="4">
        <v>2.66</v>
      </c>
      <c r="N97" s="4">
        <v>38.75</v>
      </c>
      <c r="O97" s="4">
        <v>35</v>
      </c>
      <c r="P97" s="4">
        <v>28</v>
      </c>
      <c r="Q97" s="4">
        <v>20.6</v>
      </c>
      <c r="R97" s="4">
        <v>92.5</v>
      </c>
      <c r="S97" s="4">
        <v>54</v>
      </c>
      <c r="T97" s="4">
        <v>18.5</v>
      </c>
      <c r="U97" s="4">
        <v>4.4800000000000004</v>
      </c>
      <c r="V97" s="4">
        <v>3.46</v>
      </c>
      <c r="W97" s="4">
        <v>126.5</v>
      </c>
      <c r="X97" s="4">
        <v>14.5</v>
      </c>
      <c r="Y97" s="4">
        <v>14.21</v>
      </c>
      <c r="Z97" s="4">
        <v>6.5</v>
      </c>
      <c r="AA97" s="4">
        <v>28.25</v>
      </c>
      <c r="AB97" s="4">
        <v>10.55</v>
      </c>
      <c r="AC97" s="4">
        <v>16.399999999999999</v>
      </c>
      <c r="AD97" s="4">
        <v>14.1</v>
      </c>
      <c r="AE97" s="4">
        <v>177.5</v>
      </c>
      <c r="AF97" s="4">
        <v>337</v>
      </c>
      <c r="AG97" s="4">
        <v>43.75</v>
      </c>
      <c r="AH97" s="4">
        <v>341</v>
      </c>
      <c r="AI97" s="4">
        <v>259</v>
      </c>
      <c r="AJ97" s="4">
        <v>121</v>
      </c>
      <c r="AK97" s="4">
        <v>252</v>
      </c>
      <c r="AL97" s="4">
        <v>0.9</v>
      </c>
      <c r="AM97" s="4">
        <v>23.1</v>
      </c>
      <c r="AN97" s="4">
        <v>63.25</v>
      </c>
      <c r="AO97" s="4">
        <v>29.75</v>
      </c>
      <c r="AP97" s="4">
        <v>62.12</v>
      </c>
      <c r="AQ97" s="4">
        <v>26</v>
      </c>
      <c r="AR97" s="4">
        <v>21.4</v>
      </c>
      <c r="AS97" s="4">
        <v>1.63</v>
      </c>
      <c r="AT97" s="4">
        <v>752.18</v>
      </c>
    </row>
    <row r="98" spans="1:46">
      <c r="A98" s="283">
        <v>43</v>
      </c>
      <c r="B98" s="3">
        <v>40967</v>
      </c>
      <c r="C98" s="4">
        <v>157</v>
      </c>
      <c r="D98" s="4">
        <v>51.5</v>
      </c>
      <c r="E98" s="4">
        <v>177</v>
      </c>
      <c r="F98" s="4">
        <v>75.75</v>
      </c>
      <c r="G98" s="4">
        <v>19.5</v>
      </c>
      <c r="H98" s="4">
        <v>24.4</v>
      </c>
      <c r="I98" s="4">
        <v>646</v>
      </c>
      <c r="J98" s="4">
        <v>44.5</v>
      </c>
      <c r="K98" s="4">
        <v>153.5</v>
      </c>
      <c r="L98" s="4">
        <v>46</v>
      </c>
      <c r="M98" s="4">
        <v>2.7199999999999998</v>
      </c>
      <c r="N98" s="4">
        <v>41.5</v>
      </c>
      <c r="O98" s="4">
        <v>36.25</v>
      </c>
      <c r="P98" s="4">
        <v>32.130000000000003</v>
      </c>
      <c r="Q98" s="4">
        <v>22.7</v>
      </c>
      <c r="R98" s="4">
        <v>94.5</v>
      </c>
      <c r="S98" s="4">
        <v>54.25</v>
      </c>
      <c r="T98" s="4">
        <v>21.7</v>
      </c>
      <c r="U98" s="4">
        <v>4.72</v>
      </c>
      <c r="V98" s="4">
        <v>3.9</v>
      </c>
      <c r="W98" s="4">
        <v>145</v>
      </c>
      <c r="X98" s="4">
        <v>14.4</v>
      </c>
      <c r="Y98" s="4">
        <v>16.09</v>
      </c>
      <c r="Z98" s="4">
        <v>6.75</v>
      </c>
      <c r="AA98" s="4">
        <v>29.25</v>
      </c>
      <c r="AB98" s="4">
        <v>11.45</v>
      </c>
      <c r="AC98" s="4">
        <v>16</v>
      </c>
      <c r="AD98" s="4">
        <v>13.8</v>
      </c>
      <c r="AE98" s="4">
        <v>183.5</v>
      </c>
      <c r="AF98" s="4">
        <v>360</v>
      </c>
      <c r="AG98" s="4">
        <v>42.5</v>
      </c>
      <c r="AH98" s="4">
        <v>354</v>
      </c>
      <c r="AI98" s="4">
        <v>295</v>
      </c>
      <c r="AJ98" s="4">
        <v>126.5</v>
      </c>
      <c r="AK98" s="4">
        <v>300</v>
      </c>
      <c r="AL98" s="4">
        <v>0.89</v>
      </c>
      <c r="AM98" s="4">
        <v>24.8</v>
      </c>
      <c r="AN98" s="4">
        <v>75.5</v>
      </c>
      <c r="AO98" s="4">
        <v>29.75</v>
      </c>
      <c r="AP98" s="4">
        <v>65.41</v>
      </c>
      <c r="AQ98" s="4">
        <v>27</v>
      </c>
      <c r="AR98" s="4">
        <v>19.899999999999999</v>
      </c>
      <c r="AS98" s="4">
        <v>1.72</v>
      </c>
      <c r="AT98" s="4">
        <v>807.69</v>
      </c>
    </row>
    <row r="99" spans="1:46">
      <c r="A99" s="283">
        <v>44</v>
      </c>
      <c r="B99" s="3">
        <v>40996</v>
      </c>
      <c r="C99" s="4">
        <v>184.5</v>
      </c>
      <c r="D99" s="4">
        <v>57.75</v>
      </c>
      <c r="E99" s="4">
        <v>187</v>
      </c>
      <c r="F99" s="4">
        <v>88</v>
      </c>
      <c r="G99" s="4">
        <v>21.7</v>
      </c>
      <c r="H99" s="4">
        <v>27.5</v>
      </c>
      <c r="I99" s="4">
        <v>618</v>
      </c>
      <c r="J99" s="4">
        <v>50.5</v>
      </c>
      <c r="K99" s="4">
        <v>171</v>
      </c>
      <c r="L99" s="4">
        <v>54</v>
      </c>
      <c r="M99" s="4">
        <v>2.82</v>
      </c>
      <c r="N99" s="4">
        <v>46.75</v>
      </c>
      <c r="O99" s="4">
        <v>36.5</v>
      </c>
      <c r="P99" s="4">
        <v>32.630000000000003</v>
      </c>
      <c r="Q99" s="4">
        <v>26.25</v>
      </c>
      <c r="R99" s="4">
        <v>93.25</v>
      </c>
      <c r="S99" s="4">
        <v>56</v>
      </c>
      <c r="T99" s="4">
        <v>22</v>
      </c>
      <c r="U99" s="4">
        <v>4.72</v>
      </c>
      <c r="V99" s="4">
        <v>3.42</v>
      </c>
      <c r="W99" s="4">
        <v>153.5</v>
      </c>
      <c r="X99" s="4">
        <v>14.3</v>
      </c>
      <c r="Y99" s="4">
        <v>16.75</v>
      </c>
      <c r="Z99" s="4">
        <v>7.05</v>
      </c>
      <c r="AA99" s="4">
        <v>28.5</v>
      </c>
      <c r="AB99" s="4">
        <v>13.18</v>
      </c>
      <c r="AC99" s="4">
        <v>15.9</v>
      </c>
      <c r="AD99" s="4">
        <v>15.2</v>
      </c>
      <c r="AE99" s="4">
        <v>179</v>
      </c>
      <c r="AF99" s="4">
        <v>359</v>
      </c>
      <c r="AG99" s="4">
        <v>41.5</v>
      </c>
      <c r="AH99" s="4">
        <v>359</v>
      </c>
      <c r="AI99" s="4">
        <v>303</v>
      </c>
      <c r="AJ99" s="4">
        <v>146</v>
      </c>
      <c r="AK99" s="4">
        <v>355</v>
      </c>
      <c r="AL99" s="4">
        <v>0.88</v>
      </c>
      <c r="AM99" s="4">
        <v>26</v>
      </c>
      <c r="AN99" s="4">
        <v>72.75</v>
      </c>
      <c r="AO99" s="4">
        <v>29.5</v>
      </c>
      <c r="AP99" s="4">
        <v>66.12</v>
      </c>
      <c r="AQ99" s="4">
        <v>32.75</v>
      </c>
      <c r="AR99" s="4">
        <v>20.100000000000001</v>
      </c>
      <c r="AS99" s="4">
        <v>1.78</v>
      </c>
      <c r="AT99" s="4">
        <v>849.51</v>
      </c>
    </row>
    <row r="100" spans="1:46">
      <c r="A100" s="283">
        <v>45</v>
      </c>
      <c r="B100" s="3">
        <v>41027</v>
      </c>
      <c r="C100" s="4">
        <v>181.5</v>
      </c>
      <c r="D100" s="4">
        <v>60.5</v>
      </c>
      <c r="E100" s="4">
        <v>186</v>
      </c>
      <c r="F100" s="4">
        <v>92</v>
      </c>
      <c r="G100" s="4">
        <v>23.2</v>
      </c>
      <c r="H100" s="4">
        <v>27.5</v>
      </c>
      <c r="I100" s="4">
        <v>556</v>
      </c>
      <c r="J100" s="4">
        <v>52</v>
      </c>
      <c r="K100" s="4">
        <v>190</v>
      </c>
      <c r="L100" s="4">
        <v>61.25</v>
      </c>
      <c r="M100" s="4">
        <v>2.84</v>
      </c>
      <c r="N100" s="4">
        <v>49</v>
      </c>
      <c r="O100" s="4">
        <v>40.75</v>
      </c>
      <c r="P100" s="4">
        <v>37.25</v>
      </c>
      <c r="Q100" s="4">
        <v>24.6</v>
      </c>
      <c r="R100" s="4">
        <v>98</v>
      </c>
      <c r="S100" s="4">
        <v>62.75</v>
      </c>
      <c r="T100" s="4">
        <v>22.1</v>
      </c>
      <c r="U100" s="4">
        <v>4.3600000000000003</v>
      </c>
      <c r="V100" s="4">
        <v>3.66</v>
      </c>
      <c r="W100" s="4">
        <v>155</v>
      </c>
      <c r="X100" s="4">
        <v>13.8</v>
      </c>
      <c r="Y100" s="4">
        <v>16.559999999999999</v>
      </c>
      <c r="Z100" s="4">
        <v>8</v>
      </c>
      <c r="AA100" s="4">
        <v>29</v>
      </c>
      <c r="AB100" s="4">
        <v>14.1</v>
      </c>
      <c r="AC100" s="4">
        <v>16</v>
      </c>
      <c r="AD100" s="4">
        <v>15.4</v>
      </c>
      <c r="AE100" s="4">
        <v>175</v>
      </c>
      <c r="AF100" s="4">
        <v>344</v>
      </c>
      <c r="AG100" s="4">
        <v>42</v>
      </c>
      <c r="AH100" s="4">
        <v>346</v>
      </c>
      <c r="AI100" s="4">
        <v>320</v>
      </c>
      <c r="AJ100" s="4">
        <v>148</v>
      </c>
      <c r="AK100" s="4">
        <v>375</v>
      </c>
      <c r="AL100" s="4">
        <v>0.84</v>
      </c>
      <c r="AM100" s="4">
        <v>26.75</v>
      </c>
      <c r="AN100" s="4">
        <v>67.5</v>
      </c>
      <c r="AO100" s="4">
        <v>30</v>
      </c>
      <c r="AP100" s="4">
        <v>72.5</v>
      </c>
      <c r="AQ100" s="4">
        <v>31</v>
      </c>
      <c r="AR100" s="4">
        <v>19.100000000000001</v>
      </c>
      <c r="AS100" s="4">
        <v>1.69</v>
      </c>
      <c r="AT100" s="4">
        <v>850.11</v>
      </c>
    </row>
    <row r="101" spans="1:46">
      <c r="A101" s="283">
        <v>46</v>
      </c>
      <c r="B101" s="3">
        <v>41057</v>
      </c>
      <c r="C101" s="4">
        <v>186</v>
      </c>
      <c r="D101" s="4">
        <v>55.75</v>
      </c>
      <c r="E101" s="4">
        <v>180.5</v>
      </c>
      <c r="F101" s="4">
        <v>90.75</v>
      </c>
      <c r="G101" s="4">
        <v>22</v>
      </c>
      <c r="H101" s="4">
        <v>28.25</v>
      </c>
      <c r="I101" s="4">
        <v>466</v>
      </c>
      <c r="J101" s="4">
        <v>50.5</v>
      </c>
      <c r="K101" s="4">
        <v>216</v>
      </c>
      <c r="L101" s="4">
        <v>63.5</v>
      </c>
      <c r="M101" s="4">
        <v>2.52</v>
      </c>
      <c r="N101" s="4">
        <v>47</v>
      </c>
      <c r="O101" s="4">
        <v>39</v>
      </c>
      <c r="P101" s="4">
        <v>35.75</v>
      </c>
      <c r="Q101" s="4">
        <v>21.7</v>
      </c>
      <c r="R101" s="4">
        <v>99.75</v>
      </c>
      <c r="S101" s="4">
        <v>62</v>
      </c>
      <c r="T101" s="4">
        <v>19.899999999999999</v>
      </c>
      <c r="U101" s="4">
        <v>3.7199999999999998</v>
      </c>
      <c r="V101" s="4">
        <v>3.3</v>
      </c>
      <c r="W101" s="4">
        <v>149.5</v>
      </c>
      <c r="X101" s="4">
        <v>12.8</v>
      </c>
      <c r="Y101" s="4">
        <v>14.39</v>
      </c>
      <c r="Z101" s="4">
        <v>7.55</v>
      </c>
      <c r="AA101" s="4">
        <v>28.25</v>
      </c>
      <c r="AB101" s="4">
        <v>13.8</v>
      </c>
      <c r="AC101" s="4">
        <v>14.8</v>
      </c>
      <c r="AD101" s="4">
        <v>13.9</v>
      </c>
      <c r="AE101" s="4">
        <v>156.5</v>
      </c>
      <c r="AF101" s="4">
        <v>304</v>
      </c>
      <c r="AG101" s="4">
        <v>40.5</v>
      </c>
      <c r="AH101" s="4">
        <v>333</v>
      </c>
      <c r="AI101" s="4">
        <v>297</v>
      </c>
      <c r="AJ101" s="4">
        <v>139</v>
      </c>
      <c r="AK101" s="4">
        <v>356</v>
      </c>
      <c r="AL101" s="4">
        <v>0.79</v>
      </c>
      <c r="AM101" s="4">
        <v>21.5</v>
      </c>
      <c r="AN101" s="4">
        <v>54.25</v>
      </c>
      <c r="AO101" s="4">
        <v>29</v>
      </c>
      <c r="AP101" s="4">
        <v>71</v>
      </c>
      <c r="AQ101" s="4">
        <v>27.5</v>
      </c>
      <c r="AR101" s="4">
        <v>17.100000000000001</v>
      </c>
      <c r="AS101" s="4">
        <v>1.51</v>
      </c>
      <c r="AT101" s="4">
        <v>791.76</v>
      </c>
    </row>
    <row r="102" spans="1:46">
      <c r="A102" s="283">
        <v>47</v>
      </c>
      <c r="B102" s="3">
        <v>41088</v>
      </c>
      <c r="C102" s="4">
        <v>186</v>
      </c>
      <c r="D102" s="4">
        <v>60</v>
      </c>
      <c r="E102" s="4">
        <v>187.5</v>
      </c>
      <c r="F102" s="4">
        <v>99.75</v>
      </c>
      <c r="G102" s="4">
        <v>23.9</v>
      </c>
      <c r="H102" s="4">
        <v>29.25</v>
      </c>
      <c r="I102" s="4">
        <v>438</v>
      </c>
      <c r="J102" s="4">
        <v>53.75</v>
      </c>
      <c r="K102" s="4">
        <v>213</v>
      </c>
      <c r="L102" s="4">
        <v>71.75</v>
      </c>
      <c r="M102" s="4">
        <v>2.6</v>
      </c>
      <c r="N102" s="4">
        <v>46.5</v>
      </c>
      <c r="O102" s="4">
        <v>38.5</v>
      </c>
      <c r="P102" s="4">
        <v>36.75</v>
      </c>
      <c r="Q102" s="4">
        <v>21.3</v>
      </c>
      <c r="R102" s="4">
        <v>111</v>
      </c>
      <c r="S102" s="4">
        <v>62</v>
      </c>
      <c r="T102" s="4">
        <v>19.100000000000001</v>
      </c>
      <c r="U102" s="4">
        <v>3.56</v>
      </c>
      <c r="V102" s="4">
        <v>3.06</v>
      </c>
      <c r="W102" s="4">
        <v>162</v>
      </c>
      <c r="X102" s="4">
        <v>12.6</v>
      </c>
      <c r="Y102" s="4">
        <v>14.96</v>
      </c>
      <c r="Z102" s="4">
        <v>7.9</v>
      </c>
      <c r="AA102" s="4">
        <v>28.25</v>
      </c>
      <c r="AB102" s="4">
        <v>14</v>
      </c>
      <c r="AC102" s="4">
        <v>14.6</v>
      </c>
      <c r="AD102" s="4">
        <v>15.7</v>
      </c>
      <c r="AE102" s="4">
        <v>169</v>
      </c>
      <c r="AF102" s="4">
        <v>320</v>
      </c>
      <c r="AG102" s="4">
        <v>43</v>
      </c>
      <c r="AH102" s="4">
        <v>315</v>
      </c>
      <c r="AI102" s="4">
        <v>322</v>
      </c>
      <c r="AJ102" s="4">
        <v>145.5</v>
      </c>
      <c r="AK102" s="4">
        <v>359</v>
      </c>
      <c r="AL102" s="4">
        <v>0.79</v>
      </c>
      <c r="AM102" s="4">
        <v>21.4</v>
      </c>
      <c r="AN102" s="4">
        <v>57.5</v>
      </c>
      <c r="AO102" s="4">
        <v>27</v>
      </c>
      <c r="AP102" s="4">
        <v>72</v>
      </c>
      <c r="AQ102" s="4">
        <v>28.25</v>
      </c>
      <c r="AR102" s="4">
        <v>16</v>
      </c>
      <c r="AS102" s="4">
        <v>1.52</v>
      </c>
      <c r="AT102" s="4">
        <v>814.02</v>
      </c>
    </row>
    <row r="103" spans="1:46">
      <c r="A103" s="283">
        <v>48</v>
      </c>
      <c r="B103" s="3">
        <v>41118</v>
      </c>
      <c r="C103" s="4">
        <v>200</v>
      </c>
      <c r="D103" s="4">
        <v>65.25</v>
      </c>
      <c r="E103" s="4">
        <v>190.5</v>
      </c>
      <c r="F103" s="4">
        <v>98</v>
      </c>
      <c r="G103" s="4">
        <v>27.75</v>
      </c>
      <c r="H103" s="4">
        <v>31.75</v>
      </c>
      <c r="I103" s="4">
        <v>398</v>
      </c>
      <c r="J103" s="4">
        <v>55.75</v>
      </c>
      <c r="K103" s="4">
        <v>177.5</v>
      </c>
      <c r="L103" s="4">
        <v>74</v>
      </c>
      <c r="M103" s="4">
        <v>2.6</v>
      </c>
      <c r="N103" s="4">
        <v>48.5</v>
      </c>
      <c r="O103" s="4">
        <v>32.5</v>
      </c>
      <c r="P103" s="4">
        <v>33.25</v>
      </c>
      <c r="Q103" s="4">
        <v>23.3</v>
      </c>
      <c r="R103" s="4">
        <v>107</v>
      </c>
      <c r="S103" s="4">
        <v>60.5</v>
      </c>
      <c r="T103" s="4">
        <v>19.399999999999999</v>
      </c>
      <c r="U103" s="4">
        <v>3.54</v>
      </c>
      <c r="V103" s="4">
        <v>3.14</v>
      </c>
      <c r="W103" s="4">
        <v>166.5</v>
      </c>
      <c r="X103" s="4">
        <v>12.1</v>
      </c>
      <c r="Y103" s="4">
        <v>15.05</v>
      </c>
      <c r="Z103" s="4">
        <v>7.7</v>
      </c>
      <c r="AA103" s="4">
        <v>28.75</v>
      </c>
      <c r="AB103" s="4">
        <v>15.6</v>
      </c>
      <c r="AC103" s="4">
        <v>14.3</v>
      </c>
      <c r="AD103" s="4">
        <v>18.2</v>
      </c>
      <c r="AE103" s="4">
        <v>153</v>
      </c>
      <c r="AF103" s="4">
        <v>322</v>
      </c>
      <c r="AG103" s="4">
        <v>44.75</v>
      </c>
      <c r="AH103" s="4">
        <v>318</v>
      </c>
      <c r="AI103" s="4">
        <v>333</v>
      </c>
      <c r="AJ103" s="4">
        <v>153</v>
      </c>
      <c r="AK103" s="4">
        <v>322</v>
      </c>
      <c r="AL103" s="4">
        <v>0.77</v>
      </c>
      <c r="AM103" s="4">
        <v>19.7</v>
      </c>
      <c r="AN103" s="4">
        <v>58.25</v>
      </c>
      <c r="AO103" s="4">
        <v>27.25</v>
      </c>
      <c r="AP103" s="4">
        <v>72.5</v>
      </c>
      <c r="AQ103" s="4">
        <v>30.75</v>
      </c>
      <c r="AR103" s="4">
        <v>15.7</v>
      </c>
      <c r="AS103" s="4">
        <v>1.47</v>
      </c>
      <c r="AT103" s="4">
        <v>812.36</v>
      </c>
    </row>
    <row r="104" spans="1:46">
      <c r="A104" s="283">
        <v>49</v>
      </c>
      <c r="B104" s="3">
        <v>41149</v>
      </c>
      <c r="C104" s="4">
        <v>213</v>
      </c>
      <c r="D104" s="4">
        <v>66</v>
      </c>
      <c r="E104" s="4">
        <v>194.5</v>
      </c>
      <c r="F104" s="4">
        <v>104.5</v>
      </c>
      <c r="G104" s="4">
        <v>28.25</v>
      </c>
      <c r="H104" s="4">
        <v>31.5</v>
      </c>
      <c r="I104" s="4">
        <v>444</v>
      </c>
      <c r="J104" s="4">
        <v>52</v>
      </c>
      <c r="K104" s="4">
        <v>183</v>
      </c>
      <c r="L104" s="4">
        <v>77.25</v>
      </c>
      <c r="M104" s="4">
        <v>2.7199999999999998</v>
      </c>
      <c r="N104" s="4">
        <v>52.25</v>
      </c>
      <c r="O104" s="4">
        <v>31.75</v>
      </c>
      <c r="P104" s="4">
        <v>34</v>
      </c>
      <c r="Q104" s="4">
        <v>24.4</v>
      </c>
      <c r="R104" s="4">
        <v>117.5</v>
      </c>
      <c r="S104" s="4">
        <v>62.25</v>
      </c>
      <c r="T104" s="4">
        <v>20.8</v>
      </c>
      <c r="U104" s="4">
        <v>3.86</v>
      </c>
      <c r="V104" s="4">
        <v>3.4</v>
      </c>
      <c r="W104" s="4">
        <v>173</v>
      </c>
      <c r="X104" s="4">
        <v>12.4</v>
      </c>
      <c r="Y104" s="4">
        <v>16.7</v>
      </c>
      <c r="Z104" s="4">
        <v>8.3000000000000007</v>
      </c>
      <c r="AA104" s="4">
        <v>28.5</v>
      </c>
      <c r="AB104" s="4">
        <v>15</v>
      </c>
      <c r="AC104" s="4">
        <v>13.8</v>
      </c>
      <c r="AD104" s="4">
        <v>17.5</v>
      </c>
      <c r="AE104" s="4">
        <v>149.5</v>
      </c>
      <c r="AF104" s="4">
        <v>334</v>
      </c>
      <c r="AG104" s="4">
        <v>48</v>
      </c>
      <c r="AH104" s="4">
        <v>327</v>
      </c>
      <c r="AI104" s="4">
        <v>338</v>
      </c>
      <c r="AJ104" s="4">
        <v>153.5</v>
      </c>
      <c r="AK104" s="4">
        <v>370</v>
      </c>
      <c r="AL104" s="4">
        <v>0.81</v>
      </c>
      <c r="AM104" s="4">
        <v>20.399999999999999</v>
      </c>
      <c r="AN104" s="4">
        <v>67.75</v>
      </c>
      <c r="AO104" s="4">
        <v>28.25</v>
      </c>
      <c r="AP104" s="4">
        <v>72.75</v>
      </c>
      <c r="AQ104" s="4">
        <v>34.75</v>
      </c>
      <c r="AR104" s="4">
        <v>15.4</v>
      </c>
      <c r="AS104" s="4">
        <v>1.69</v>
      </c>
      <c r="AT104" s="4">
        <v>845.55</v>
      </c>
    </row>
    <row r="105" spans="1:46">
      <c r="A105" s="283">
        <v>50</v>
      </c>
      <c r="B105" s="3">
        <v>41180</v>
      </c>
      <c r="C105" s="4">
        <v>214</v>
      </c>
      <c r="D105" s="4">
        <v>79.5</v>
      </c>
      <c r="E105" s="4">
        <v>194</v>
      </c>
      <c r="F105" s="4">
        <v>107.5</v>
      </c>
      <c r="G105" s="4">
        <v>29.5</v>
      </c>
      <c r="H105" s="4">
        <v>31.25</v>
      </c>
      <c r="I105" s="4">
        <v>392</v>
      </c>
      <c r="J105" s="4">
        <v>76.5</v>
      </c>
      <c r="K105" s="4">
        <v>186</v>
      </c>
      <c r="L105" s="4">
        <v>82</v>
      </c>
      <c r="M105" s="4">
        <v>2.7199999999999998</v>
      </c>
      <c r="N105" s="4">
        <v>60</v>
      </c>
      <c r="O105" s="4">
        <v>33.5</v>
      </c>
      <c r="P105" s="4">
        <v>35.5</v>
      </c>
      <c r="Q105" s="4">
        <v>25.75</v>
      </c>
      <c r="R105" s="4">
        <v>130</v>
      </c>
      <c r="S105" s="4">
        <v>66.25</v>
      </c>
      <c r="T105" s="4">
        <v>20.9</v>
      </c>
      <c r="U105" s="4">
        <v>4.26</v>
      </c>
      <c r="V105" s="4">
        <v>3.6</v>
      </c>
      <c r="W105" s="4">
        <v>182.5</v>
      </c>
      <c r="X105" s="4">
        <v>12.8</v>
      </c>
      <c r="Y105" s="4">
        <v>18.3</v>
      </c>
      <c r="Z105" s="4">
        <v>9.1</v>
      </c>
      <c r="AA105" s="4">
        <v>29.75</v>
      </c>
      <c r="AB105" s="4">
        <v>15.5</v>
      </c>
      <c r="AC105" s="4">
        <v>13.2</v>
      </c>
      <c r="AD105" s="4">
        <v>18</v>
      </c>
      <c r="AE105" s="4">
        <v>162.5</v>
      </c>
      <c r="AF105" s="4">
        <v>329</v>
      </c>
      <c r="AG105" s="4">
        <v>48.5</v>
      </c>
      <c r="AH105" s="4">
        <v>349</v>
      </c>
      <c r="AI105" s="4">
        <v>382</v>
      </c>
      <c r="AJ105" s="4">
        <v>168.5</v>
      </c>
      <c r="AK105" s="4">
        <v>397</v>
      </c>
      <c r="AL105" s="4">
        <v>0.8</v>
      </c>
      <c r="AM105" s="4">
        <v>21.7</v>
      </c>
      <c r="AN105" s="4">
        <v>65.25</v>
      </c>
      <c r="AO105" s="4">
        <v>30</v>
      </c>
      <c r="AP105" s="4">
        <v>73.25</v>
      </c>
      <c r="AQ105" s="4">
        <v>37.75</v>
      </c>
      <c r="AR105" s="4">
        <v>16.5</v>
      </c>
      <c r="AS105" s="4">
        <v>1.8199999999999998</v>
      </c>
      <c r="AT105" s="4">
        <v>886.58</v>
      </c>
    </row>
    <row r="106" spans="1:46">
      <c r="A106" s="283">
        <v>51</v>
      </c>
      <c r="B106" s="3">
        <v>41210</v>
      </c>
      <c r="C106" s="4">
        <v>198</v>
      </c>
      <c r="D106" s="4">
        <v>83</v>
      </c>
      <c r="E106" s="4">
        <v>175</v>
      </c>
      <c r="F106" s="4">
        <v>107</v>
      </c>
      <c r="G106" s="4">
        <v>28</v>
      </c>
      <c r="H106" s="4">
        <v>29</v>
      </c>
      <c r="I106" s="4">
        <v>389</v>
      </c>
      <c r="J106" s="4">
        <v>59.75</v>
      </c>
      <c r="K106" s="4">
        <v>186.5</v>
      </c>
      <c r="L106" s="4">
        <v>77</v>
      </c>
      <c r="M106" s="4">
        <v>2.66</v>
      </c>
      <c r="N106" s="4">
        <v>72</v>
      </c>
      <c r="O106" s="4">
        <v>35.25</v>
      </c>
      <c r="P106" s="4">
        <v>40</v>
      </c>
      <c r="Q106" s="4">
        <v>28.25</v>
      </c>
      <c r="R106" s="4">
        <v>134</v>
      </c>
      <c r="S106" s="4">
        <v>70.25</v>
      </c>
      <c r="T106" s="4">
        <v>22</v>
      </c>
      <c r="U106" s="4">
        <v>4.18</v>
      </c>
      <c r="V106" s="4">
        <v>4</v>
      </c>
      <c r="W106" s="4">
        <v>175</v>
      </c>
      <c r="X106" s="4">
        <v>13.2</v>
      </c>
      <c r="Y106" s="4">
        <v>18.100000000000001</v>
      </c>
      <c r="Z106" s="4">
        <v>8.65</v>
      </c>
      <c r="AA106" s="4">
        <v>32.5</v>
      </c>
      <c r="AB106" s="4">
        <v>17.5</v>
      </c>
      <c r="AC106" s="4">
        <v>13.4</v>
      </c>
      <c r="AD106" s="4">
        <v>19.600000000000001</v>
      </c>
      <c r="AE106" s="4">
        <v>156</v>
      </c>
      <c r="AF106" s="4">
        <v>313</v>
      </c>
      <c r="AG106" s="4">
        <v>54</v>
      </c>
      <c r="AH106" s="4">
        <v>363</v>
      </c>
      <c r="AI106" s="4">
        <v>420</v>
      </c>
      <c r="AJ106" s="4">
        <v>158.5</v>
      </c>
      <c r="AK106" s="4">
        <v>452</v>
      </c>
      <c r="AL106" s="4">
        <v>0.82</v>
      </c>
      <c r="AM106" s="4">
        <v>22.7</v>
      </c>
      <c r="AN106" s="4">
        <v>65.5</v>
      </c>
      <c r="AO106" s="4">
        <v>29.5</v>
      </c>
      <c r="AP106" s="4">
        <v>70.5</v>
      </c>
      <c r="AQ106" s="4">
        <v>36</v>
      </c>
      <c r="AR106" s="4">
        <v>18.2</v>
      </c>
      <c r="AS106" s="4">
        <v>1.83</v>
      </c>
      <c r="AT106" s="4">
        <v>866.98</v>
      </c>
    </row>
    <row r="109" spans="1:46">
      <c r="B109" s="1" t="s">
        <v>60</v>
      </c>
      <c r="C109" s="22">
        <v>2</v>
      </c>
      <c r="D109" s="23">
        <v>4</v>
      </c>
      <c r="E109" s="23">
        <v>6</v>
      </c>
      <c r="F109" s="23">
        <v>8</v>
      </c>
      <c r="G109" s="23">
        <v>10</v>
      </c>
      <c r="H109" s="23">
        <v>12</v>
      </c>
      <c r="I109" s="23">
        <v>14</v>
      </c>
      <c r="J109" s="23">
        <v>16</v>
      </c>
      <c r="K109" s="23">
        <v>18</v>
      </c>
      <c r="L109" s="23">
        <v>20</v>
      </c>
      <c r="M109" s="23">
        <v>22</v>
      </c>
      <c r="N109" s="23">
        <v>24</v>
      </c>
      <c r="O109" s="23">
        <v>26</v>
      </c>
      <c r="P109" s="23">
        <v>28</v>
      </c>
      <c r="Q109" s="23">
        <v>30</v>
      </c>
      <c r="R109" s="23">
        <v>32</v>
      </c>
      <c r="S109" s="23">
        <v>34</v>
      </c>
      <c r="T109" s="23">
        <v>36</v>
      </c>
      <c r="U109" s="23">
        <v>38</v>
      </c>
      <c r="V109" s="23">
        <v>40</v>
      </c>
      <c r="W109" s="23">
        <v>42</v>
      </c>
      <c r="X109" s="23">
        <v>44</v>
      </c>
      <c r="Y109" s="23">
        <v>46</v>
      </c>
      <c r="Z109" s="23">
        <v>48</v>
      </c>
      <c r="AA109" s="23">
        <v>50</v>
      </c>
      <c r="AB109" s="23">
        <v>52</v>
      </c>
      <c r="AC109" s="23">
        <v>54</v>
      </c>
      <c r="AD109" s="23">
        <v>56</v>
      </c>
      <c r="AE109" s="23">
        <v>60</v>
      </c>
      <c r="AF109" s="23">
        <v>62</v>
      </c>
      <c r="AG109" s="23">
        <v>64</v>
      </c>
      <c r="AH109" s="23">
        <v>66</v>
      </c>
      <c r="AI109" s="23">
        <v>70</v>
      </c>
      <c r="AJ109" s="23">
        <v>72</v>
      </c>
      <c r="AK109" s="23">
        <v>74</v>
      </c>
      <c r="AL109" s="23">
        <v>76</v>
      </c>
      <c r="AM109" s="23">
        <v>78</v>
      </c>
      <c r="AN109" s="23">
        <v>80</v>
      </c>
      <c r="AO109" s="23">
        <v>82</v>
      </c>
      <c r="AP109" s="23">
        <v>84</v>
      </c>
      <c r="AQ109" s="23">
        <v>86</v>
      </c>
      <c r="AR109" s="23">
        <v>88</v>
      </c>
      <c r="AS109" s="23">
        <v>90</v>
      </c>
      <c r="AT109" s="23">
        <v>92</v>
      </c>
    </row>
    <row r="110" spans="1:46">
      <c r="A110" s="283">
        <v>1</v>
      </c>
      <c r="B110" s="5" t="s">
        <v>1</v>
      </c>
      <c r="C110" s="6" t="s">
        <v>2</v>
      </c>
      <c r="D110" s="6" t="s">
        <v>3</v>
      </c>
      <c r="E110" s="6" t="s">
        <v>4</v>
      </c>
      <c r="F110" s="6" t="s">
        <v>5</v>
      </c>
      <c r="G110" s="6" t="s">
        <v>6</v>
      </c>
      <c r="H110" s="6" t="s">
        <v>7</v>
      </c>
      <c r="I110" s="6" t="s">
        <v>8</v>
      </c>
      <c r="J110" s="6" t="s">
        <v>9</v>
      </c>
      <c r="K110" s="6" t="s">
        <v>10</v>
      </c>
      <c r="L110" s="6" t="s">
        <v>11</v>
      </c>
      <c r="M110" s="6" t="s">
        <v>12</v>
      </c>
      <c r="N110" s="6" t="s">
        <v>13</v>
      </c>
      <c r="O110" s="6" t="s">
        <v>14</v>
      </c>
      <c r="P110" s="6" t="s">
        <v>15</v>
      </c>
      <c r="Q110" s="6" t="s">
        <v>16</v>
      </c>
      <c r="R110" s="6" t="s">
        <v>17</v>
      </c>
      <c r="S110" s="6" t="s">
        <v>18</v>
      </c>
      <c r="T110" s="6" t="s">
        <v>19</v>
      </c>
      <c r="U110" s="6" t="s">
        <v>20</v>
      </c>
      <c r="V110" s="6" t="s">
        <v>21</v>
      </c>
      <c r="W110" s="6" t="s">
        <v>22</v>
      </c>
      <c r="X110" s="6" t="s">
        <v>23</v>
      </c>
      <c r="Y110" s="6" t="s">
        <v>24</v>
      </c>
      <c r="Z110" s="6" t="s">
        <v>25</v>
      </c>
      <c r="AA110" s="6" t="s">
        <v>26</v>
      </c>
      <c r="AB110" s="6" t="s">
        <v>27</v>
      </c>
      <c r="AC110" s="6" t="s">
        <v>28</v>
      </c>
      <c r="AD110" s="6" t="s">
        <v>29</v>
      </c>
      <c r="AE110" s="6" t="s">
        <v>30</v>
      </c>
      <c r="AF110" s="6" t="s">
        <v>31</v>
      </c>
      <c r="AG110" s="6" t="s">
        <v>32</v>
      </c>
      <c r="AH110" s="6" t="s">
        <v>33</v>
      </c>
      <c r="AI110" s="6" t="s">
        <v>34</v>
      </c>
      <c r="AJ110" s="6" t="s">
        <v>35</v>
      </c>
      <c r="AK110" s="6" t="s">
        <v>36</v>
      </c>
      <c r="AL110" s="6" t="s">
        <v>37</v>
      </c>
      <c r="AM110" s="6" t="s">
        <v>38</v>
      </c>
      <c r="AN110" s="6" t="s">
        <v>39</v>
      </c>
      <c r="AO110" s="6" t="s">
        <v>40</v>
      </c>
      <c r="AP110" s="6" t="s">
        <v>41</v>
      </c>
      <c r="AQ110" s="6" t="s">
        <v>42</v>
      </c>
      <c r="AR110" s="6" t="s">
        <v>43</v>
      </c>
      <c r="AS110" s="6" t="s">
        <v>44</v>
      </c>
      <c r="AT110" s="2" t="s">
        <v>45</v>
      </c>
    </row>
    <row r="111" spans="1:46">
      <c r="A111" s="283">
        <v>2</v>
      </c>
      <c r="B111" s="3">
        <v>39719</v>
      </c>
    </row>
    <row r="112" spans="1:46">
      <c r="A112" s="283">
        <v>3</v>
      </c>
      <c r="B112" s="3">
        <v>39749</v>
      </c>
      <c r="C112">
        <f>LN(C58/C57)</f>
        <v>-0.16426926807815176</v>
      </c>
      <c r="D112">
        <f t="shared" ref="D112:AT112" si="0">LN(D58/D57)</f>
        <v>-0.731466044862082</v>
      </c>
      <c r="E112">
        <f t="shared" si="0"/>
        <v>-0.51239918821342112</v>
      </c>
      <c r="F112">
        <f t="shared" si="0"/>
        <v>-0.56431430871697696</v>
      </c>
      <c r="G112">
        <f t="shared" si="0"/>
        <v>-0.3532793549375941</v>
      </c>
      <c r="H112">
        <f t="shared" si="0"/>
        <v>-0.57408782054395691</v>
      </c>
      <c r="I112">
        <f t="shared" si="0"/>
        <v>-0.80117906391051197</v>
      </c>
      <c r="J112">
        <f t="shared" si="0"/>
        <v>-0.25613371471685492</v>
      </c>
      <c r="K112">
        <f t="shared" si="0"/>
        <v>-0.23601006190745999</v>
      </c>
      <c r="L112">
        <f t="shared" si="0"/>
        <v>-0.33103251332539479</v>
      </c>
      <c r="M112">
        <f t="shared" si="0"/>
        <v>-0.65943612321763367</v>
      </c>
      <c r="N112">
        <f t="shared" si="0"/>
        <v>-0.79019296970941622</v>
      </c>
      <c r="O112">
        <f t="shared" si="0"/>
        <v>-0.31417368789875733</v>
      </c>
      <c r="P112">
        <f t="shared" si="0"/>
        <v>-0.30511713427388248</v>
      </c>
      <c r="Q112">
        <f t="shared" si="0"/>
        <v>-0.36211466723455066</v>
      </c>
      <c r="R112">
        <f t="shared" si="0"/>
        <v>-0.11394425934921772</v>
      </c>
      <c r="S112">
        <f t="shared" si="0"/>
        <v>-0.3706789920227489</v>
      </c>
      <c r="T112">
        <f t="shared" si="0"/>
        <v>-0.40546510810816444</v>
      </c>
      <c r="U112">
        <f t="shared" si="0"/>
        <v>-0.61834596747724702</v>
      </c>
      <c r="V112">
        <f t="shared" si="0"/>
        <v>-0.58581816032944678</v>
      </c>
      <c r="W112">
        <f t="shared" si="0"/>
        <v>-0.27996002635787059</v>
      </c>
      <c r="X112">
        <f t="shared" si="0"/>
        <v>-0.56509525370004832</v>
      </c>
      <c r="Y112">
        <f t="shared" si="0"/>
        <v>-0.50585461104397023</v>
      </c>
      <c r="Z112">
        <f t="shared" si="0"/>
        <v>-0.78471437408543576</v>
      </c>
      <c r="AA112">
        <f t="shared" si="0"/>
        <v>-0.5205344378929514</v>
      </c>
      <c r="AB112">
        <f t="shared" si="0"/>
        <v>-0.50790875247086753</v>
      </c>
      <c r="AC112">
        <f t="shared" si="0"/>
        <v>-0.66782937257565533</v>
      </c>
      <c r="AD112">
        <f t="shared" si="0"/>
        <v>-0.5603056810293604</v>
      </c>
      <c r="AE112">
        <f t="shared" si="0"/>
        <v>-0.51820573106361323</v>
      </c>
      <c r="AF112">
        <f t="shared" si="0"/>
        <v>-0.46661953126149502</v>
      </c>
      <c r="AG112">
        <f t="shared" si="0"/>
        <v>-0.2248811712127505</v>
      </c>
      <c r="AH112">
        <f t="shared" si="0"/>
        <v>-0.29768215578636431</v>
      </c>
      <c r="AI112">
        <f t="shared" si="0"/>
        <v>-0.43586258529253541</v>
      </c>
      <c r="AJ112">
        <f t="shared" si="0"/>
        <v>-0.34860224621362124</v>
      </c>
      <c r="AK112">
        <f t="shared" si="0"/>
        <v>-0.36705565999329326</v>
      </c>
      <c r="AL112">
        <f t="shared" si="0"/>
        <v>-0.98705980276236216</v>
      </c>
      <c r="AM112">
        <f t="shared" si="0"/>
        <v>-0.50418108104732218</v>
      </c>
      <c r="AN112">
        <f t="shared" si="0"/>
        <v>-0.79280967510313394</v>
      </c>
      <c r="AO112">
        <f t="shared" si="0"/>
        <v>-0.57352421798155484</v>
      </c>
      <c r="AP112">
        <f t="shared" si="0"/>
        <v>-0.15515685416323111</v>
      </c>
      <c r="AQ112">
        <f t="shared" si="0"/>
        <v>-0.73053471263156566</v>
      </c>
      <c r="AR112">
        <f t="shared" si="0"/>
        <v>-0.95469711273487834</v>
      </c>
      <c r="AS112">
        <f t="shared" si="0"/>
        <v>-0.69314718055994529</v>
      </c>
      <c r="AT112">
        <f t="shared" si="0"/>
        <v>-0.46454583331725274</v>
      </c>
    </row>
    <row r="113" spans="1:46">
      <c r="A113" s="283">
        <v>4</v>
      </c>
      <c r="B113" s="3">
        <v>39780</v>
      </c>
      <c r="C113">
        <f t="shared" ref="C113:AT113" si="1">LN(C59/C58)</f>
        <v>9.5324657974863433E-2</v>
      </c>
      <c r="D113">
        <f t="shared" si="1"/>
        <v>0.10660973505825827</v>
      </c>
      <c r="E113">
        <f t="shared" si="1"/>
        <v>3.1010236742560218E-2</v>
      </c>
      <c r="F113">
        <f t="shared" si="1"/>
        <v>-0.14776088172848725</v>
      </c>
      <c r="G113">
        <f t="shared" si="1"/>
        <v>6.5597282485813063E-2</v>
      </c>
      <c r="H113">
        <f t="shared" si="1"/>
        <v>-2.5841231183887328E-2</v>
      </c>
      <c r="I113">
        <f t="shared" si="1"/>
        <v>0.22714961990268159</v>
      </c>
      <c r="J113">
        <f t="shared" si="1"/>
        <v>8.9079630053688852E-2</v>
      </c>
      <c r="K113">
        <f t="shared" si="1"/>
        <v>-0.14698219034864582</v>
      </c>
      <c r="L113">
        <f t="shared" si="1"/>
        <v>-0.23161817830518189</v>
      </c>
      <c r="M113">
        <f t="shared" si="1"/>
        <v>-0.16154442885219653</v>
      </c>
      <c r="N113">
        <f t="shared" si="1"/>
        <v>0.20124956667947344</v>
      </c>
      <c r="O113">
        <f t="shared" si="1"/>
        <v>-6.2303883336154865E-2</v>
      </c>
      <c r="P113">
        <f t="shared" si="1"/>
        <v>0.28642500126172971</v>
      </c>
      <c r="Q113">
        <f t="shared" si="1"/>
        <v>-5.6089466651043585E-2</v>
      </c>
      <c r="R113">
        <f t="shared" si="1"/>
        <v>-8.0761356644458465E-2</v>
      </c>
      <c r="S113">
        <f t="shared" si="1"/>
        <v>4.5120435280469433E-2</v>
      </c>
      <c r="T113">
        <f t="shared" si="1"/>
        <v>-0.16251892949777494</v>
      </c>
      <c r="U113">
        <f t="shared" si="1"/>
        <v>-0.17156876501769289</v>
      </c>
      <c r="V113">
        <f t="shared" si="1"/>
        <v>-0.22757814838207535</v>
      </c>
      <c r="W113">
        <f t="shared" si="1"/>
        <v>-0.13720112151348501</v>
      </c>
      <c r="X113">
        <f t="shared" si="1"/>
        <v>9.1807549253122886E-2</v>
      </c>
      <c r="Y113">
        <f t="shared" si="1"/>
        <v>-0.15783053678565875</v>
      </c>
      <c r="Z113">
        <f t="shared" si="1"/>
        <v>5.9818495210910205E-2</v>
      </c>
      <c r="AA113">
        <f t="shared" si="1"/>
        <v>-0.18721154208814661</v>
      </c>
      <c r="AB113">
        <f t="shared" si="1"/>
        <v>-5.3168667880678096E-2</v>
      </c>
      <c r="AC113">
        <f t="shared" si="1"/>
        <v>0.14518200984449789</v>
      </c>
      <c r="AD113">
        <f t="shared" si="1"/>
        <v>-0.16223479822721715</v>
      </c>
      <c r="AE113">
        <f t="shared" si="1"/>
        <v>0.14351228162220256</v>
      </c>
      <c r="AF113">
        <f t="shared" si="1"/>
        <v>-6.7796869853788038E-3</v>
      </c>
      <c r="AG113">
        <f t="shared" si="1"/>
        <v>6.725222700916747E-2</v>
      </c>
      <c r="AH113">
        <f t="shared" si="1"/>
        <v>-0.10034797383428198</v>
      </c>
      <c r="AI113">
        <f t="shared" si="1"/>
        <v>9.2166551049240476E-3</v>
      </c>
      <c r="AJ113">
        <f t="shared" si="1"/>
        <v>-3.5809452696710889E-2</v>
      </c>
      <c r="AK113">
        <f t="shared" si="1"/>
        <v>7.534943724178679E-2</v>
      </c>
      <c r="AL113">
        <f t="shared" si="1"/>
        <v>9.5310179804324935E-2</v>
      </c>
      <c r="AM113">
        <f t="shared" si="1"/>
        <v>0</v>
      </c>
      <c r="AN113">
        <f t="shared" si="1"/>
        <v>-4.1242958534049134E-2</v>
      </c>
      <c r="AO113">
        <f t="shared" si="1"/>
        <v>4.7856021177635141E-2</v>
      </c>
      <c r="AP113">
        <f t="shared" si="1"/>
        <v>6.9291780471391895E-2</v>
      </c>
      <c r="AQ113">
        <f t="shared" si="1"/>
        <v>0.25869453557852867</v>
      </c>
      <c r="AR113">
        <f t="shared" si="1"/>
        <v>0.21613492115973273</v>
      </c>
      <c r="AS113">
        <f t="shared" si="1"/>
        <v>5.6089466651043578E-2</v>
      </c>
      <c r="AT113">
        <f t="shared" si="1"/>
        <v>2.2807530595200208E-2</v>
      </c>
    </row>
    <row r="114" spans="1:46">
      <c r="A114" s="283">
        <v>5</v>
      </c>
      <c r="B114" s="3">
        <v>39810</v>
      </c>
      <c r="C114">
        <f t="shared" ref="C114:AT114" si="2">LN(C60/C59)</f>
        <v>1.2803167049519878E-2</v>
      </c>
      <c r="D114">
        <f t="shared" si="2"/>
        <v>0.14609261849749589</v>
      </c>
      <c r="E114">
        <f t="shared" si="2"/>
        <v>4.4783602626973444E-2</v>
      </c>
      <c r="F114">
        <f t="shared" si="2"/>
        <v>0.11423818968984389</v>
      </c>
      <c r="G114">
        <f t="shared" si="2"/>
        <v>0.29951653009878382</v>
      </c>
      <c r="H114">
        <f t="shared" si="2"/>
        <v>-2.6526754333428597E-2</v>
      </c>
      <c r="I114">
        <f t="shared" si="2"/>
        <v>0.18941897150139553</v>
      </c>
      <c r="J114">
        <f t="shared" si="2"/>
        <v>0.10763066419236536</v>
      </c>
      <c r="K114">
        <f t="shared" si="2"/>
        <v>0.20294084399669038</v>
      </c>
      <c r="L114">
        <f t="shared" si="2"/>
        <v>9.6276830435419777E-2</v>
      </c>
      <c r="M114">
        <f t="shared" si="2"/>
        <v>0.10471095408903057</v>
      </c>
      <c r="N114">
        <f t="shared" si="2"/>
        <v>0.41925843024050014</v>
      </c>
      <c r="O114">
        <f t="shared" si="2"/>
        <v>9.5310179804324935E-2</v>
      </c>
      <c r="P114">
        <f t="shared" si="2"/>
        <v>0.14058195062118939</v>
      </c>
      <c r="Q114">
        <f t="shared" si="2"/>
        <v>0.14310084364067324</v>
      </c>
      <c r="R114">
        <f t="shared" si="2"/>
        <v>0.2175202937598476</v>
      </c>
      <c r="S114">
        <f t="shared" si="2"/>
        <v>8.4557388028063174E-2</v>
      </c>
      <c r="T114">
        <f t="shared" si="2"/>
        <v>0.23017757797158969</v>
      </c>
      <c r="U114">
        <f t="shared" si="2"/>
        <v>0.14416979082957834</v>
      </c>
      <c r="V114">
        <f t="shared" si="2"/>
        <v>0.20067069546215124</v>
      </c>
      <c r="W114">
        <f t="shared" si="2"/>
        <v>7.3687715791159125E-2</v>
      </c>
      <c r="X114">
        <f t="shared" si="2"/>
        <v>1.739174271186902E-2</v>
      </c>
      <c r="Y114">
        <f t="shared" si="2"/>
        <v>0.16878955057537831</v>
      </c>
      <c r="Z114">
        <f t="shared" si="2"/>
        <v>0.21407025510853478</v>
      </c>
      <c r="AA114">
        <f t="shared" si="2"/>
        <v>0.24256163717131143</v>
      </c>
      <c r="AB114">
        <f t="shared" si="2"/>
        <v>0.19756317276257171</v>
      </c>
      <c r="AC114">
        <f t="shared" si="2"/>
        <v>0.2001791741939612</v>
      </c>
      <c r="AD114">
        <f t="shared" si="2"/>
        <v>0.26759531388504348</v>
      </c>
      <c r="AE114">
        <f t="shared" si="2"/>
        <v>8.7011376989629699E-2</v>
      </c>
      <c r="AF114">
        <f t="shared" si="2"/>
        <v>0.15706189003471671</v>
      </c>
      <c r="AG114">
        <f t="shared" si="2"/>
        <v>0.34110723912536145</v>
      </c>
      <c r="AH114">
        <f t="shared" si="2"/>
        <v>0.14458122881110749</v>
      </c>
      <c r="AI114">
        <f t="shared" si="2"/>
        <v>0.17618656822643869</v>
      </c>
      <c r="AJ114">
        <f t="shared" si="2"/>
        <v>2.061928720273561E-2</v>
      </c>
      <c r="AK114">
        <f t="shared" si="2"/>
        <v>9.2373320131015069E-2</v>
      </c>
      <c r="AL114">
        <f t="shared" si="2"/>
        <v>0.52884412926866897</v>
      </c>
      <c r="AM114">
        <f t="shared" si="2"/>
        <v>3.8965968533383709E-2</v>
      </c>
      <c r="AN114">
        <f t="shared" si="2"/>
        <v>0.21256144198367288</v>
      </c>
      <c r="AO114">
        <f t="shared" si="2"/>
        <v>0.10629465864962322</v>
      </c>
      <c r="AP114">
        <f t="shared" si="2"/>
        <v>7.5387999635745009E-2</v>
      </c>
      <c r="AQ114">
        <f t="shared" si="2"/>
        <v>3.6105004642116356E-2</v>
      </c>
      <c r="AR114">
        <f t="shared" si="2"/>
        <v>0.26374045656515688</v>
      </c>
      <c r="AS114">
        <f t="shared" si="2"/>
        <v>0.10354067894084017</v>
      </c>
      <c r="AT114">
        <f t="shared" si="2"/>
        <v>0.11454169643342377</v>
      </c>
    </row>
    <row r="115" spans="1:46">
      <c r="A115" s="283">
        <v>6</v>
      </c>
      <c r="B115" s="3">
        <v>39841</v>
      </c>
      <c r="C115">
        <f t="shared" ref="C115:AT115" si="3">LN(C61/C60)</f>
        <v>-3.2542092885466639E-2</v>
      </c>
      <c r="D115">
        <f t="shared" si="3"/>
        <v>-0.10752034371125634</v>
      </c>
      <c r="E115">
        <f t="shared" si="3"/>
        <v>8.3965380117334121E-2</v>
      </c>
      <c r="F115">
        <f t="shared" si="3"/>
        <v>-5.6980211146377786E-3</v>
      </c>
      <c r="G115">
        <f t="shared" si="3"/>
        <v>-4.204823624349939E-2</v>
      </c>
      <c r="H115">
        <f t="shared" si="3"/>
        <v>-1.6260520871780291E-2</v>
      </c>
      <c r="I115">
        <f t="shared" si="3"/>
        <v>2.6208153160758044E-2</v>
      </c>
      <c r="J115">
        <f t="shared" si="3"/>
        <v>2.0202707317519469E-2</v>
      </c>
      <c r="K115">
        <f t="shared" si="3"/>
        <v>7.216244624823058E-2</v>
      </c>
      <c r="L115">
        <f t="shared" si="3"/>
        <v>3.7919234862293677E-2</v>
      </c>
      <c r="M115">
        <f t="shared" si="3"/>
        <v>-7.9068523475692973E-2</v>
      </c>
      <c r="N115">
        <f t="shared" si="3"/>
        <v>-7.8331843269906956E-2</v>
      </c>
      <c r="O115">
        <f t="shared" si="3"/>
        <v>8.1041210003125821E-2</v>
      </c>
      <c r="P115">
        <f t="shared" si="3"/>
        <v>-7.6633226020915837E-2</v>
      </c>
      <c r="Q115">
        <f t="shared" si="3"/>
        <v>-0.22314355131420985</v>
      </c>
      <c r="R115">
        <f t="shared" si="3"/>
        <v>3.6904556935450979E-2</v>
      </c>
      <c r="S115">
        <f t="shared" si="3"/>
        <v>6.1154423153330646E-2</v>
      </c>
      <c r="T115">
        <f t="shared" si="3"/>
        <v>2.7651531330510164E-2</v>
      </c>
      <c r="U115">
        <f t="shared" si="3"/>
        <v>-6.7010710282960309E-2</v>
      </c>
      <c r="V115">
        <f t="shared" si="3"/>
        <v>0.20479441264601322</v>
      </c>
      <c r="W115">
        <f t="shared" si="3"/>
        <v>2.6955809988528295E-2</v>
      </c>
      <c r="X115">
        <f t="shared" si="3"/>
        <v>5.0430853626891904E-2</v>
      </c>
      <c r="Y115">
        <f t="shared" si="3"/>
        <v>5.8217495563876016E-2</v>
      </c>
      <c r="Z115">
        <f t="shared" si="3"/>
        <v>-0.14550758367123828</v>
      </c>
      <c r="AA115">
        <f t="shared" si="3"/>
        <v>-3.9220713153281267E-2</v>
      </c>
      <c r="AB115">
        <f t="shared" si="3"/>
        <v>-9.3910599449901613E-2</v>
      </c>
      <c r="AC115">
        <f t="shared" si="3"/>
        <v>-2.6907452919924382E-2</v>
      </c>
      <c r="AD115">
        <f t="shared" si="3"/>
        <v>-2.1978906718775115E-2</v>
      </c>
      <c r="AE115">
        <f t="shared" si="3"/>
        <v>-9.8522964430115944E-3</v>
      </c>
      <c r="AF115">
        <f t="shared" si="3"/>
        <v>-2.950066439669799E-2</v>
      </c>
      <c r="AG115">
        <f t="shared" si="3"/>
        <v>-8.4387392277547379E-2</v>
      </c>
      <c r="AH115">
        <f t="shared" si="3"/>
        <v>9.5694510161506725E-3</v>
      </c>
      <c r="AI115">
        <f t="shared" si="3"/>
        <v>1.5267472130788381E-2</v>
      </c>
      <c r="AJ115">
        <f t="shared" si="3"/>
        <v>9.7163748453647669E-2</v>
      </c>
      <c r="AK115">
        <f t="shared" si="3"/>
        <v>1.4598799421152631E-2</v>
      </c>
      <c r="AL115">
        <f t="shared" si="3"/>
        <v>-4.5670036833188439E-2</v>
      </c>
      <c r="AM115">
        <f t="shared" si="3"/>
        <v>-0.1004187477470473</v>
      </c>
      <c r="AN115">
        <f t="shared" si="3"/>
        <v>8.16780310142671E-2</v>
      </c>
      <c r="AO115">
        <f t="shared" si="3"/>
        <v>9.6073830089622031E-2</v>
      </c>
      <c r="AP115">
        <f t="shared" si="3"/>
        <v>1.5401844611506703E-2</v>
      </c>
      <c r="AQ115">
        <f t="shared" si="3"/>
        <v>2.1053409197832482E-2</v>
      </c>
      <c r="AR115">
        <f t="shared" si="3"/>
        <v>5.7885792399804507E-2</v>
      </c>
      <c r="AS115">
        <f t="shared" si="3"/>
        <v>-6.7822596338761171E-2</v>
      </c>
      <c r="AT115">
        <f t="shared" si="3"/>
        <v>-4.0875036952028329E-3</v>
      </c>
    </row>
    <row r="116" spans="1:46">
      <c r="A116" s="283">
        <v>7</v>
      </c>
      <c r="B116" s="3">
        <v>39872</v>
      </c>
      <c r="C116">
        <f t="shared" ref="C116:AT116" si="4">LN(C62/C61)</f>
        <v>6.4196983198155602E-2</v>
      </c>
      <c r="D116">
        <f t="shared" si="4"/>
        <v>-0.1389514600938617</v>
      </c>
      <c r="E116">
        <f t="shared" si="4"/>
        <v>0</v>
      </c>
      <c r="F116">
        <f t="shared" si="4"/>
        <v>-2.3122417420854149E-2</v>
      </c>
      <c r="G116">
        <f t="shared" si="4"/>
        <v>-3.1155167779795576E-2</v>
      </c>
      <c r="H116">
        <f t="shared" si="4"/>
        <v>-3.3336420267591836E-2</v>
      </c>
      <c r="I116">
        <f t="shared" si="4"/>
        <v>-9.0171638864175271E-2</v>
      </c>
      <c r="J116">
        <f t="shared" si="4"/>
        <v>-3.5627177643151042E-2</v>
      </c>
      <c r="K116">
        <f t="shared" si="4"/>
        <v>-1.9169916107720172E-2</v>
      </c>
      <c r="L116">
        <f t="shared" si="4"/>
        <v>-1.4051753455650415E-2</v>
      </c>
      <c r="M116">
        <f t="shared" si="4"/>
        <v>-0.25857398829371037</v>
      </c>
      <c r="N116">
        <f t="shared" si="4"/>
        <v>-8.499321283339259E-2</v>
      </c>
      <c r="O116">
        <f t="shared" si="4"/>
        <v>1.1904902506318458E-2</v>
      </c>
      <c r="P116">
        <f t="shared" si="4"/>
        <v>6.8402726884400411E-2</v>
      </c>
      <c r="Q116">
        <f t="shared" si="4"/>
        <v>9.9090902644230969E-2</v>
      </c>
      <c r="R116">
        <f t="shared" si="4"/>
        <v>2.8573372444055948E-2</v>
      </c>
      <c r="S116">
        <f t="shared" si="4"/>
        <v>-0.12629372532429212</v>
      </c>
      <c r="T116">
        <f t="shared" si="4"/>
        <v>2.6907452919924402E-2</v>
      </c>
      <c r="U116">
        <f t="shared" si="4"/>
        <v>-7.7159080546618089E-2</v>
      </c>
      <c r="V116">
        <f t="shared" si="4"/>
        <v>-0.15168458733206491</v>
      </c>
      <c r="W116">
        <f t="shared" si="4"/>
        <v>-5.4658412537864083E-2</v>
      </c>
      <c r="X116">
        <f t="shared" si="4"/>
        <v>2.4292692569044701E-2</v>
      </c>
      <c r="Y116">
        <f t="shared" si="4"/>
        <v>0</v>
      </c>
      <c r="Z116">
        <f t="shared" si="4"/>
        <v>-0.20671300991811364</v>
      </c>
      <c r="AA116">
        <f t="shared" si="4"/>
        <v>6.2035390919452697E-2</v>
      </c>
      <c r="AB116">
        <f t="shared" si="4"/>
        <v>-9.5156345483584537E-2</v>
      </c>
      <c r="AC116">
        <f t="shared" si="4"/>
        <v>-3.7041271680349097E-2</v>
      </c>
      <c r="AD116">
        <f t="shared" si="4"/>
        <v>-0.13289667346643166</v>
      </c>
      <c r="AE116">
        <f t="shared" si="4"/>
        <v>-0.12648414710911959</v>
      </c>
      <c r="AF116">
        <f t="shared" si="4"/>
        <v>-6.8137805167218027E-2</v>
      </c>
      <c r="AG116">
        <f t="shared" si="4"/>
        <v>-4.5023681373955127E-2</v>
      </c>
      <c r="AH116">
        <f t="shared" si="4"/>
        <v>-4.8790164169432056E-2</v>
      </c>
      <c r="AI116">
        <f t="shared" si="4"/>
        <v>1.5037877364540502E-2</v>
      </c>
      <c r="AJ116">
        <f t="shared" si="4"/>
        <v>3.6367644170874791E-2</v>
      </c>
      <c r="AK116">
        <f t="shared" si="4"/>
        <v>7.2202479734870973E-3</v>
      </c>
      <c r="AL116">
        <f t="shared" si="4"/>
        <v>-0.26610958719765326</v>
      </c>
      <c r="AM116">
        <f t="shared" si="4"/>
        <v>7.4610863791174847E-2</v>
      </c>
      <c r="AN116">
        <f t="shared" si="4"/>
        <v>-6.0624621816434854E-2</v>
      </c>
      <c r="AO116">
        <f t="shared" si="4"/>
        <v>-4.6883585898850381E-2</v>
      </c>
      <c r="AP116">
        <f t="shared" si="4"/>
        <v>-1.5401844611506703E-2</v>
      </c>
      <c r="AQ116">
        <f t="shared" si="4"/>
        <v>0.11159106540846239</v>
      </c>
      <c r="AR116">
        <f t="shared" si="4"/>
        <v>-0.16638007879626648</v>
      </c>
      <c r="AS116">
        <f t="shared" si="4"/>
        <v>-0.15123096972392353</v>
      </c>
      <c r="AT116">
        <f t="shared" si="4"/>
        <v>-4.2254974923894233E-2</v>
      </c>
    </row>
    <row r="117" spans="1:46">
      <c r="A117" s="283">
        <v>8</v>
      </c>
      <c r="B117" s="3">
        <v>39900</v>
      </c>
      <c r="C117">
        <f t="shared" ref="C117:AT117" si="5">LN(C63/C62)</f>
        <v>3.6575350060083625E-2</v>
      </c>
      <c r="D117">
        <f t="shared" si="5"/>
        <v>-1.8809331957496227E-2</v>
      </c>
      <c r="E117">
        <f t="shared" si="5"/>
        <v>2.6491615446976285E-2</v>
      </c>
      <c r="F117">
        <f t="shared" si="5"/>
        <v>-1.1764841579586483E-2</v>
      </c>
      <c r="G117">
        <f t="shared" si="5"/>
        <v>6.3091691932647556E-3</v>
      </c>
      <c r="H117">
        <f t="shared" si="5"/>
        <v>1.1236073266925752E-2</v>
      </c>
      <c r="I117">
        <f t="shared" si="5"/>
        <v>5.5072542537515021E-2</v>
      </c>
      <c r="J117">
        <f t="shared" si="5"/>
        <v>-4.2334363826560771E-2</v>
      </c>
      <c r="K117">
        <f t="shared" si="5"/>
        <v>6.252035698133393E-2</v>
      </c>
      <c r="L117">
        <f t="shared" si="5"/>
        <v>-0.16920046883125747</v>
      </c>
      <c r="M117">
        <f t="shared" si="5"/>
        <v>7.8780877853114384E-2</v>
      </c>
      <c r="N117">
        <f t="shared" si="5"/>
        <v>3.174869831458027E-2</v>
      </c>
      <c r="O117">
        <f t="shared" si="5"/>
        <v>-5.9347355198145777E-3</v>
      </c>
      <c r="P117">
        <f t="shared" si="5"/>
        <v>3.2523191705560145E-2</v>
      </c>
      <c r="Q117">
        <f t="shared" si="5"/>
        <v>-0.12014431184206321</v>
      </c>
      <c r="R117">
        <f t="shared" si="5"/>
        <v>-5.055227916283133E-2</v>
      </c>
      <c r="S117">
        <f t="shared" si="5"/>
        <v>9.5694510161506725E-3</v>
      </c>
      <c r="T117">
        <f t="shared" si="5"/>
        <v>-0.12723017454779356</v>
      </c>
      <c r="U117">
        <f t="shared" si="5"/>
        <v>2.6386755173194811E-2</v>
      </c>
      <c r="V117">
        <f t="shared" si="5"/>
        <v>-0.11886120287672881</v>
      </c>
      <c r="W117">
        <f t="shared" si="5"/>
        <v>4.3963123421116204E-2</v>
      </c>
      <c r="X117">
        <f t="shared" si="5"/>
        <v>4.6883585898850458E-2</v>
      </c>
      <c r="Y117">
        <f t="shared" si="5"/>
        <v>8.8509825305970555E-2</v>
      </c>
      <c r="Z117">
        <f t="shared" si="5"/>
        <v>0.12516314295400599</v>
      </c>
      <c r="AA117">
        <f t="shared" si="5"/>
        <v>-1.5151805020602333E-2</v>
      </c>
      <c r="AB117">
        <f t="shared" si="5"/>
        <v>-1.5345569674660308E-2</v>
      </c>
      <c r="AC117">
        <f t="shared" si="5"/>
        <v>-2.8710105882431253E-2</v>
      </c>
      <c r="AD117">
        <f t="shared" si="5"/>
        <v>5.4334350963329517E-2</v>
      </c>
      <c r="AE117">
        <f t="shared" si="5"/>
        <v>0.11653381625595161</v>
      </c>
      <c r="AF117">
        <f t="shared" si="5"/>
        <v>2.5317807984289786E-2</v>
      </c>
      <c r="AG117">
        <f t="shared" si="5"/>
        <v>5.1293294387550481E-2</v>
      </c>
      <c r="AH117">
        <f t="shared" si="5"/>
        <v>9.950330853168092E-3</v>
      </c>
      <c r="AI117">
        <f t="shared" si="5"/>
        <v>-4.5809536031294222E-2</v>
      </c>
      <c r="AJ117">
        <f t="shared" si="5"/>
        <v>-8.9686699827603751E-3</v>
      </c>
      <c r="AK117">
        <f t="shared" si="5"/>
        <v>-3.6634133179780384E-2</v>
      </c>
      <c r="AL117">
        <f t="shared" si="5"/>
        <v>5.9188871390330654E-2</v>
      </c>
      <c r="AM117">
        <f t="shared" si="5"/>
        <v>0.17904823144898546</v>
      </c>
      <c r="AN117">
        <f t="shared" si="5"/>
        <v>9.9090902644230969E-2</v>
      </c>
      <c r="AO117">
        <f t="shared" si="5"/>
        <v>1.5873349156290163E-2</v>
      </c>
      <c r="AP117">
        <f t="shared" si="5"/>
        <v>4.551164608287709E-2</v>
      </c>
      <c r="AQ117">
        <f t="shared" si="5"/>
        <v>0.1967102942460543</v>
      </c>
      <c r="AR117">
        <f t="shared" si="5"/>
        <v>-4.4783602626973312E-2</v>
      </c>
      <c r="AS117">
        <f t="shared" si="5"/>
        <v>-8.5157808340306826E-2</v>
      </c>
      <c r="AT117">
        <f t="shared" si="5"/>
        <v>2.7588410669275806E-2</v>
      </c>
    </row>
    <row r="118" spans="1:46">
      <c r="A118" s="283">
        <v>9</v>
      </c>
      <c r="B118" s="3">
        <v>39931</v>
      </c>
      <c r="C118">
        <f t="shared" ref="C118:AT118" si="6">LN(C64/C63)</f>
        <v>-7.1379849275668872E-2</v>
      </c>
      <c r="D118">
        <f t="shared" si="6"/>
        <v>0.13590199823885904</v>
      </c>
      <c r="E118">
        <f t="shared" si="6"/>
        <v>2.8987536873252187E-2</v>
      </c>
      <c r="F118">
        <f t="shared" si="6"/>
        <v>0.14821594430744389</v>
      </c>
      <c r="G118">
        <f t="shared" si="6"/>
        <v>-3.1951599806602358E-2</v>
      </c>
      <c r="H118">
        <f t="shared" si="6"/>
        <v>0.12088189156044979</v>
      </c>
      <c r="I118">
        <f t="shared" si="6"/>
        <v>0.17934025546208801</v>
      </c>
      <c r="J118">
        <f t="shared" si="6"/>
        <v>1.0752791776261697E-2</v>
      </c>
      <c r="K118">
        <f t="shared" si="6"/>
        <v>-3.077165866675366E-2</v>
      </c>
      <c r="L118">
        <f t="shared" si="6"/>
        <v>0.27644599918485518</v>
      </c>
      <c r="M118">
        <f t="shared" si="6"/>
        <v>0.37988826631851474</v>
      </c>
      <c r="N118">
        <f t="shared" si="6"/>
        <v>5.3244514518812285E-2</v>
      </c>
      <c r="O118">
        <f t="shared" si="6"/>
        <v>-4.2559614418795771E-2</v>
      </c>
      <c r="P118">
        <f t="shared" si="6"/>
        <v>-3.2523191705560062E-2</v>
      </c>
      <c r="Q118">
        <f t="shared" si="6"/>
        <v>0.18409303644233668</v>
      </c>
      <c r="R118">
        <f t="shared" si="6"/>
        <v>-1.8692133012152522E-2</v>
      </c>
      <c r="S118">
        <f t="shared" si="6"/>
        <v>9.9629840948841336E-2</v>
      </c>
      <c r="T118">
        <f t="shared" si="6"/>
        <v>0.17052698030111788</v>
      </c>
      <c r="U118">
        <f t="shared" si="6"/>
        <v>0.39147886613342453</v>
      </c>
      <c r="V118">
        <f t="shared" si="6"/>
        <v>0.1274449465681203</v>
      </c>
      <c r="W118">
        <f t="shared" si="6"/>
        <v>9.726330542520685E-2</v>
      </c>
      <c r="X118">
        <f t="shared" si="6"/>
        <v>0.13543797089510431</v>
      </c>
      <c r="Y118">
        <f t="shared" si="6"/>
        <v>0.16051692682710181</v>
      </c>
      <c r="Z118">
        <f t="shared" si="6"/>
        <v>0.18991790368588948</v>
      </c>
      <c r="AA118">
        <f t="shared" si="6"/>
        <v>5.2056361956053128E-2</v>
      </c>
      <c r="AB118">
        <f t="shared" si="6"/>
        <v>0</v>
      </c>
      <c r="AC118">
        <f t="shared" si="6"/>
        <v>0.18555257737540101</v>
      </c>
      <c r="AD118">
        <f t="shared" si="6"/>
        <v>0.16779345623104486</v>
      </c>
      <c r="AE118">
        <f t="shared" si="6"/>
        <v>-1.765493523872071E-2</v>
      </c>
      <c r="AF118">
        <f t="shared" si="6"/>
        <v>0.1233232160319989</v>
      </c>
      <c r="AG118">
        <f t="shared" si="6"/>
        <v>-6.4538521137571178E-2</v>
      </c>
      <c r="AH118">
        <f t="shared" si="6"/>
        <v>7.1629656139254858E-2</v>
      </c>
      <c r="AI118">
        <f t="shared" si="6"/>
        <v>6.4294350705397255E-2</v>
      </c>
      <c r="AJ118">
        <f t="shared" si="6"/>
        <v>5.2643733485421881E-2</v>
      </c>
      <c r="AK118">
        <f t="shared" si="6"/>
        <v>0</v>
      </c>
      <c r="AL118">
        <f t="shared" si="6"/>
        <v>0.18805223150293962</v>
      </c>
      <c r="AM118">
        <f t="shared" si="6"/>
        <v>0.2285931560817743</v>
      </c>
      <c r="AN118">
        <f t="shared" si="6"/>
        <v>0.14874526126035043</v>
      </c>
      <c r="AO118">
        <f t="shared" si="6"/>
        <v>0.22471711576164025</v>
      </c>
      <c r="AP118">
        <f t="shared" si="6"/>
        <v>3.8955847571015043E-2</v>
      </c>
      <c r="AQ118">
        <f t="shared" si="6"/>
        <v>8.7861355791334042E-2</v>
      </c>
      <c r="AR118">
        <f t="shared" si="6"/>
        <v>0.18739770982581527</v>
      </c>
      <c r="AS118">
        <f t="shared" si="6"/>
        <v>0.14458122881110769</v>
      </c>
      <c r="AT118">
        <f t="shared" si="6"/>
        <v>7.4441911528277172E-2</v>
      </c>
    </row>
    <row r="119" spans="1:46">
      <c r="A119" s="283">
        <v>10</v>
      </c>
      <c r="B119" s="3">
        <v>39961</v>
      </c>
      <c r="C119">
        <f t="shared" ref="C119:AT119" si="7">LN(C65/C64)</f>
        <v>3.7846536959729844E-2</v>
      </c>
      <c r="D119">
        <f t="shared" si="7"/>
        <v>0.24392067925596778</v>
      </c>
      <c r="E119">
        <f t="shared" si="7"/>
        <v>0.11954515064978273</v>
      </c>
      <c r="F119">
        <f t="shared" si="7"/>
        <v>4.0005334613698991E-2</v>
      </c>
      <c r="G119">
        <f t="shared" si="7"/>
        <v>2.5642430613337652E-2</v>
      </c>
      <c r="H119">
        <f t="shared" si="7"/>
        <v>0.15556410762440542</v>
      </c>
      <c r="I119">
        <f t="shared" si="7"/>
        <v>0.14880471948560123</v>
      </c>
      <c r="J119">
        <f t="shared" si="7"/>
        <v>5.2095111883401872E-2</v>
      </c>
      <c r="K119">
        <f t="shared" si="7"/>
        <v>6.2305497506361628E-3</v>
      </c>
      <c r="L119">
        <f t="shared" si="7"/>
        <v>0.16198912816087901</v>
      </c>
      <c r="M119">
        <f t="shared" si="7"/>
        <v>0.22624753725180069</v>
      </c>
      <c r="N119">
        <f t="shared" si="7"/>
        <v>0.25951119548508461</v>
      </c>
      <c r="O119">
        <f t="shared" si="7"/>
        <v>0.27518190968754946</v>
      </c>
      <c r="P119">
        <f t="shared" si="7"/>
        <v>0.20815576034871816</v>
      </c>
      <c r="Q119">
        <f t="shared" si="7"/>
        <v>0.2562188029959957</v>
      </c>
      <c r="R119">
        <f t="shared" si="7"/>
        <v>4.7891287704414851E-2</v>
      </c>
      <c r="S119">
        <f t="shared" si="7"/>
        <v>0.18805223150293962</v>
      </c>
      <c r="T119">
        <f t="shared" si="7"/>
        <v>0.23326168147979434</v>
      </c>
      <c r="U119">
        <f t="shared" si="7"/>
        <v>0.26991961611194054</v>
      </c>
      <c r="V119">
        <f t="shared" si="7"/>
        <v>0.21455980762281832</v>
      </c>
      <c r="W119">
        <f t="shared" si="7"/>
        <v>8.4161792321710657E-2</v>
      </c>
      <c r="X119">
        <f t="shared" si="7"/>
        <v>0.15984870094189604</v>
      </c>
      <c r="Y119">
        <f t="shared" si="7"/>
        <v>0.29913923389320923</v>
      </c>
      <c r="Z119">
        <f t="shared" si="7"/>
        <v>0.31105542363708955</v>
      </c>
      <c r="AA119">
        <f t="shared" si="7"/>
        <v>0.24889604741662438</v>
      </c>
      <c r="AB119">
        <f t="shared" si="7"/>
        <v>0.20441251460814644</v>
      </c>
      <c r="AC119">
        <f t="shared" si="7"/>
        <v>0.30368241379822214</v>
      </c>
      <c r="AD119">
        <f t="shared" si="7"/>
        <v>0.4081714697059074</v>
      </c>
      <c r="AE119">
        <f t="shared" si="7"/>
        <v>0.24079848655293054</v>
      </c>
      <c r="AF119">
        <f t="shared" si="7"/>
        <v>0.18140032227463376</v>
      </c>
      <c r="AG119">
        <f t="shared" si="7"/>
        <v>6.6445427186685108E-3</v>
      </c>
      <c r="AH119">
        <f t="shared" si="7"/>
        <v>0.19225667863730497</v>
      </c>
      <c r="AI119">
        <f t="shared" si="7"/>
        <v>0.16507975035944861</v>
      </c>
      <c r="AJ119">
        <f t="shared" si="7"/>
        <v>0.13566586515315518</v>
      </c>
      <c r="AK119">
        <f t="shared" si="7"/>
        <v>7.1973499625089241E-2</v>
      </c>
      <c r="AL119">
        <f t="shared" si="7"/>
        <v>0.2438794497933881</v>
      </c>
      <c r="AM119">
        <f t="shared" si="7"/>
        <v>0.26570316573300568</v>
      </c>
      <c r="AN119">
        <f t="shared" si="7"/>
        <v>0.26922000961204545</v>
      </c>
      <c r="AO119">
        <f t="shared" si="7"/>
        <v>0.12405264866997882</v>
      </c>
      <c r="AP119">
        <f t="shared" si="7"/>
        <v>0.10805682640030689</v>
      </c>
      <c r="AQ119">
        <f t="shared" si="7"/>
        <v>0.18698356989976597</v>
      </c>
      <c r="AR119">
        <f t="shared" si="7"/>
        <v>0.2749430466743511</v>
      </c>
      <c r="AS119">
        <f t="shared" si="7"/>
        <v>0.36624439495488309</v>
      </c>
      <c r="AT119">
        <f t="shared" si="7"/>
        <v>0.17406880361156138</v>
      </c>
    </row>
    <row r="120" spans="1:46">
      <c r="A120" s="283">
        <v>11</v>
      </c>
      <c r="B120" s="3">
        <v>39992</v>
      </c>
      <c r="C120">
        <f t="shared" ref="C120:AT120" si="8">LN(C66/C65)</f>
        <v>9.727879545047266E-2</v>
      </c>
      <c r="D120">
        <f t="shared" si="8"/>
        <v>0.20126084006470196</v>
      </c>
      <c r="E120">
        <f t="shared" si="8"/>
        <v>0.17761566575654195</v>
      </c>
      <c r="F120">
        <f t="shared" si="8"/>
        <v>9.3526058010823546E-2</v>
      </c>
      <c r="G120">
        <f t="shared" si="8"/>
        <v>5.5398779389788169E-2</v>
      </c>
      <c r="H120">
        <f t="shared" si="8"/>
        <v>0.23995066963059095</v>
      </c>
      <c r="I120">
        <f t="shared" si="8"/>
        <v>8.3271148677018056E-2</v>
      </c>
      <c r="J120">
        <f t="shared" si="8"/>
        <v>5.4334350963329517E-2</v>
      </c>
      <c r="K120">
        <f t="shared" si="8"/>
        <v>2.454110891611766E-2</v>
      </c>
      <c r="L120">
        <f t="shared" si="8"/>
        <v>-5.5569851154810765E-2</v>
      </c>
      <c r="M120">
        <f t="shared" si="8"/>
        <v>-8.626034428440689E-2</v>
      </c>
      <c r="N120">
        <f t="shared" si="8"/>
        <v>9.7904214981371612E-2</v>
      </c>
      <c r="O120">
        <f t="shared" si="8"/>
        <v>9.8734840685688857E-2</v>
      </c>
      <c r="P120">
        <f t="shared" si="8"/>
        <v>0.14934528855231979</v>
      </c>
      <c r="Q120">
        <f t="shared" si="8"/>
        <v>-0.10840929850718485</v>
      </c>
      <c r="R120">
        <f t="shared" si="8"/>
        <v>9.2690662916774608E-2</v>
      </c>
      <c r="S120">
        <f t="shared" si="8"/>
        <v>0.14131353306657748</v>
      </c>
      <c r="T120">
        <f t="shared" si="8"/>
        <v>7.1227509288367782E-2</v>
      </c>
      <c r="U120">
        <f t="shared" si="8"/>
        <v>-0.13199647290643893</v>
      </c>
      <c r="V120">
        <f t="shared" si="8"/>
        <v>-3.5091319811270172E-2</v>
      </c>
      <c r="W120">
        <f t="shared" si="8"/>
        <v>0.17255805452610354</v>
      </c>
      <c r="X120">
        <f t="shared" si="8"/>
        <v>0.10763066419236536</v>
      </c>
      <c r="Y120">
        <f t="shared" si="8"/>
        <v>0.16028761581633941</v>
      </c>
      <c r="Z120">
        <f t="shared" si="8"/>
        <v>3.8839833316263957E-2</v>
      </c>
      <c r="AA120">
        <f t="shared" si="8"/>
        <v>2.7856954502966279E-2</v>
      </c>
      <c r="AB120">
        <f t="shared" si="8"/>
        <v>1.8043515193934916E-2</v>
      </c>
      <c r="AC120">
        <f t="shared" si="8"/>
        <v>-6.136894637629213E-2</v>
      </c>
      <c r="AD120">
        <f t="shared" si="8"/>
        <v>0.1326864411589582</v>
      </c>
      <c r="AE120">
        <f t="shared" si="8"/>
        <v>6.2035390919452697E-2</v>
      </c>
      <c r="AF120">
        <f t="shared" si="8"/>
        <v>8.8162787594671679E-2</v>
      </c>
      <c r="AG120">
        <f t="shared" si="8"/>
        <v>-6.6445427186686131E-3</v>
      </c>
      <c r="AH120">
        <f t="shared" si="8"/>
        <v>0.14487366922845704</v>
      </c>
      <c r="AI120">
        <f t="shared" si="8"/>
        <v>6.0259191518196746E-2</v>
      </c>
      <c r="AJ120">
        <f t="shared" si="8"/>
        <v>9.9372473813203771E-2</v>
      </c>
      <c r="AK120">
        <f t="shared" si="8"/>
        <v>1.0362787035546658E-2</v>
      </c>
      <c r="AL120">
        <f t="shared" si="8"/>
        <v>0.15201620729862569</v>
      </c>
      <c r="AM120">
        <f t="shared" si="8"/>
        <v>-2.7028672387919374E-2</v>
      </c>
      <c r="AN120">
        <f t="shared" si="8"/>
        <v>-0.13976194237515874</v>
      </c>
      <c r="AO120">
        <f t="shared" si="8"/>
        <v>-5.129329438755046E-2</v>
      </c>
      <c r="AP120">
        <f t="shared" si="8"/>
        <v>2.1262958952378022E-2</v>
      </c>
      <c r="AQ120">
        <f t="shared" si="8"/>
        <v>3.0536723860081702E-2</v>
      </c>
      <c r="AR120">
        <f t="shared" si="8"/>
        <v>3.7740327982847113E-2</v>
      </c>
      <c r="AS120">
        <f t="shared" si="8"/>
        <v>0.11332868530700307</v>
      </c>
      <c r="AT120">
        <f t="shared" si="8"/>
        <v>8.3978128382359421E-2</v>
      </c>
    </row>
    <row r="121" spans="1:46">
      <c r="A121" s="283">
        <v>12</v>
      </c>
      <c r="B121" s="3">
        <v>40022</v>
      </c>
      <c r="C121">
        <f t="shared" ref="C121:AT121" si="9">LN(C67/C66)</f>
        <v>0</v>
      </c>
      <c r="D121">
        <f t="shared" si="9"/>
        <v>0.10889408823913739</v>
      </c>
      <c r="E121">
        <f t="shared" si="9"/>
        <v>8.1493034251183011E-2</v>
      </c>
      <c r="F121">
        <f t="shared" si="9"/>
        <v>5.2185753170570247E-2</v>
      </c>
      <c r="G121">
        <f t="shared" si="9"/>
        <v>2.3669744085904922E-2</v>
      </c>
      <c r="H121">
        <f t="shared" si="9"/>
        <v>0.19885085874516517</v>
      </c>
      <c r="I121">
        <f t="shared" si="9"/>
        <v>8.8384225872571946E-3</v>
      </c>
      <c r="J121">
        <f t="shared" si="9"/>
        <v>-3.9220713153281385E-2</v>
      </c>
      <c r="K121">
        <f t="shared" si="9"/>
        <v>0.11980119981262058</v>
      </c>
      <c r="L121">
        <f t="shared" si="9"/>
        <v>-9.5694510161506725E-3</v>
      </c>
      <c r="M121">
        <f t="shared" si="9"/>
        <v>0.14250006260728301</v>
      </c>
      <c r="N121">
        <f t="shared" si="9"/>
        <v>-5.320403606346457E-2</v>
      </c>
      <c r="O121">
        <f t="shared" si="9"/>
        <v>8.5942429800724626E-2</v>
      </c>
      <c r="P121">
        <f t="shared" si="9"/>
        <v>-6.5695259265395017E-2</v>
      </c>
      <c r="Q121">
        <f t="shared" si="9"/>
        <v>0.10153641921942282</v>
      </c>
      <c r="R121">
        <f t="shared" si="9"/>
        <v>-1.3201511858535842E-2</v>
      </c>
      <c r="S121">
        <f t="shared" si="9"/>
        <v>-7.2320661579626133E-2</v>
      </c>
      <c r="T121">
        <f t="shared" si="9"/>
        <v>0.10097591734000218</v>
      </c>
      <c r="U121">
        <f t="shared" si="9"/>
        <v>5.3744276006690829E-2</v>
      </c>
      <c r="V121">
        <f t="shared" si="9"/>
        <v>-2.1661496781179193E-2</v>
      </c>
      <c r="W121">
        <f t="shared" si="9"/>
        <v>8.3230654149723707E-2</v>
      </c>
      <c r="X121">
        <f t="shared" si="9"/>
        <v>1.5190165493975019E-2</v>
      </c>
      <c r="Y121">
        <f t="shared" si="9"/>
        <v>1.2578782206859965E-2</v>
      </c>
      <c r="Z121">
        <f t="shared" si="9"/>
        <v>2.8170876966696439E-2</v>
      </c>
      <c r="AA121">
        <f t="shared" si="9"/>
        <v>4.3017385083690858E-2</v>
      </c>
      <c r="AB121">
        <f t="shared" si="9"/>
        <v>4.3075299862110603E-2</v>
      </c>
      <c r="AC121">
        <f t="shared" si="9"/>
        <v>3.7271394797231384E-2</v>
      </c>
      <c r="AD121">
        <f t="shared" si="9"/>
        <v>0.14821594430744389</v>
      </c>
      <c r="AE121">
        <f t="shared" si="9"/>
        <v>4.7715473039666577E-2</v>
      </c>
      <c r="AF121">
        <f t="shared" si="9"/>
        <v>4.2105325363434578E-3</v>
      </c>
      <c r="AG121">
        <f t="shared" si="9"/>
        <v>0</v>
      </c>
      <c r="AH121">
        <f t="shared" si="9"/>
        <v>0.13517477836825254</v>
      </c>
      <c r="AI121">
        <f t="shared" si="9"/>
        <v>3.4486176071169404E-2</v>
      </c>
      <c r="AJ121">
        <f t="shared" si="9"/>
        <v>5.2643733485421881E-2</v>
      </c>
      <c r="AK121">
        <f t="shared" si="9"/>
        <v>3.4305350967892222E-3</v>
      </c>
      <c r="AL121">
        <f t="shared" si="9"/>
        <v>0.10919929196499201</v>
      </c>
      <c r="AM121">
        <f t="shared" si="9"/>
        <v>-5.6352936551131626E-2</v>
      </c>
      <c r="AN121">
        <f t="shared" si="9"/>
        <v>8.2238098236972007E-2</v>
      </c>
      <c r="AO121">
        <f t="shared" si="9"/>
        <v>8.4083117210541444E-2</v>
      </c>
      <c r="AP121">
        <f t="shared" si="9"/>
        <v>2.8680545134035524E-2</v>
      </c>
      <c r="AQ121">
        <f t="shared" si="9"/>
        <v>2.9631797606371149E-2</v>
      </c>
      <c r="AR121">
        <f t="shared" si="9"/>
        <v>5.8443595870074583E-2</v>
      </c>
      <c r="AS121">
        <f t="shared" si="9"/>
        <v>-2.409755157906053E-2</v>
      </c>
      <c r="AT121">
        <f t="shared" si="9"/>
        <v>4.3628290012633179E-2</v>
      </c>
    </row>
    <row r="122" spans="1:46">
      <c r="A122" s="283">
        <v>13</v>
      </c>
      <c r="B122" s="3">
        <v>40053</v>
      </c>
      <c r="C122">
        <f t="shared" ref="C122:AT122" si="10">LN(C68/C67)</f>
        <v>-2.8460820751849528E-2</v>
      </c>
      <c r="D122">
        <f t="shared" si="10"/>
        <v>0.17435338714477774</v>
      </c>
      <c r="E122">
        <f t="shared" si="10"/>
        <v>-2.6433257068155483E-2</v>
      </c>
      <c r="F122">
        <f t="shared" si="10"/>
        <v>4.5556531602367008E-2</v>
      </c>
      <c r="G122">
        <f t="shared" si="10"/>
        <v>8.4083117210541444E-2</v>
      </c>
      <c r="H122">
        <f t="shared" si="10"/>
        <v>-1.0989121575595206E-2</v>
      </c>
      <c r="I122">
        <f t="shared" si="10"/>
        <v>0.17445411684264422</v>
      </c>
      <c r="J122">
        <f t="shared" si="10"/>
        <v>-6.7208749693450115E-2</v>
      </c>
      <c r="K122">
        <f t="shared" si="10"/>
        <v>-3.2789822822990838E-2</v>
      </c>
      <c r="L122">
        <f t="shared" si="10"/>
        <v>2.843793532053341E-2</v>
      </c>
      <c r="M122">
        <f t="shared" si="10"/>
        <v>0.31845373111853459</v>
      </c>
      <c r="N122">
        <f t="shared" si="10"/>
        <v>0.12805192685989697</v>
      </c>
      <c r="O122">
        <f t="shared" si="10"/>
        <v>0.13720112151348496</v>
      </c>
      <c r="P122">
        <f t="shared" si="10"/>
        <v>3.0397477184370948E-2</v>
      </c>
      <c r="Q122">
        <f t="shared" si="10"/>
        <v>0.19941599015325473</v>
      </c>
      <c r="R122">
        <f t="shared" si="10"/>
        <v>3.5892923060606534E-2</v>
      </c>
      <c r="S122">
        <f t="shared" si="10"/>
        <v>4.8790164169432049E-2</v>
      </c>
      <c r="T122">
        <f t="shared" si="10"/>
        <v>0.10705399616415942</v>
      </c>
      <c r="U122">
        <f t="shared" si="10"/>
        <v>0.12550508175029376</v>
      </c>
      <c r="V122">
        <f t="shared" si="10"/>
        <v>4.2863704431782314E-2</v>
      </c>
      <c r="W122">
        <f t="shared" si="10"/>
        <v>1.3793322132335769E-2</v>
      </c>
      <c r="X122">
        <f t="shared" si="10"/>
        <v>0.24402944229404416</v>
      </c>
      <c r="Y122">
        <f t="shared" si="10"/>
        <v>-1.2578782206860073E-2</v>
      </c>
      <c r="Z122">
        <f t="shared" si="10"/>
        <v>0.11365931847252128</v>
      </c>
      <c r="AA122">
        <f t="shared" si="10"/>
        <v>2.0834086902841834E-2</v>
      </c>
      <c r="AB122">
        <f t="shared" si="10"/>
        <v>0.23908951721491575</v>
      </c>
      <c r="AC122">
        <f t="shared" si="10"/>
        <v>1.2121360532345041E-2</v>
      </c>
      <c r="AD122">
        <f t="shared" si="10"/>
        <v>1.0152371464017908E-2</v>
      </c>
      <c r="AE122">
        <f t="shared" si="10"/>
        <v>1.7762456339840468E-2</v>
      </c>
      <c r="AF122">
        <f t="shared" si="10"/>
        <v>3.7117662956502588E-2</v>
      </c>
      <c r="AG122">
        <f t="shared" si="10"/>
        <v>-6.688988150796652E-3</v>
      </c>
      <c r="AH122">
        <f t="shared" si="10"/>
        <v>0.11137686384397195</v>
      </c>
      <c r="AI122">
        <f t="shared" si="10"/>
        <v>0.18514243313559589</v>
      </c>
      <c r="AJ122">
        <f t="shared" si="10"/>
        <v>-1.6155440222285256E-2</v>
      </c>
      <c r="AK122">
        <f t="shared" si="10"/>
        <v>-3.484673133016819E-2</v>
      </c>
      <c r="AL122">
        <f t="shared" si="10"/>
        <v>2.833050662622599E-2</v>
      </c>
      <c r="AM122">
        <f t="shared" si="10"/>
        <v>0.3760512229018711</v>
      </c>
      <c r="AN122">
        <f t="shared" si="10"/>
        <v>6.9869679960486E-2</v>
      </c>
      <c r="AO122">
        <f t="shared" si="10"/>
        <v>-3.2789822822990956E-2</v>
      </c>
      <c r="AP122">
        <f t="shared" si="10"/>
        <v>6.5245100507675277E-2</v>
      </c>
      <c r="AQ122">
        <f t="shared" si="10"/>
        <v>4.2863704431782529E-2</v>
      </c>
      <c r="AR122">
        <f t="shared" si="10"/>
        <v>8.695706967553913E-3</v>
      </c>
      <c r="AS122">
        <f t="shared" si="10"/>
        <v>0.25671984684781407</v>
      </c>
      <c r="AT122">
        <f t="shared" si="10"/>
        <v>4.8112665282416485E-2</v>
      </c>
    </row>
    <row r="123" spans="1:46">
      <c r="A123" s="283">
        <v>14</v>
      </c>
      <c r="B123" s="3">
        <v>40084</v>
      </c>
      <c r="C123">
        <f t="shared" ref="C123:AT123" si="11">LN(C69/C68)</f>
        <v>7.5083321654574917E-2</v>
      </c>
      <c r="D123">
        <f t="shared" si="11"/>
        <v>0.10735851832049932</v>
      </c>
      <c r="E123">
        <f t="shared" si="11"/>
        <v>4.3675063502661635E-2</v>
      </c>
      <c r="F123">
        <f t="shared" si="11"/>
        <v>-2.0450610471290768E-2</v>
      </c>
      <c r="G123">
        <f t="shared" si="11"/>
        <v>0</v>
      </c>
      <c r="H123">
        <f t="shared" si="11"/>
        <v>3.7944931564123471E-2</v>
      </c>
      <c r="I123">
        <f t="shared" si="11"/>
        <v>6.6705823695297095E-2</v>
      </c>
      <c r="J123">
        <f t="shared" si="11"/>
        <v>0.17156876501769289</v>
      </c>
      <c r="K123">
        <f t="shared" si="11"/>
        <v>-2.8170876966696335E-2</v>
      </c>
      <c r="L123">
        <f t="shared" si="11"/>
        <v>0</v>
      </c>
      <c r="M123">
        <f t="shared" si="11"/>
        <v>-2.2989518224698718E-2</v>
      </c>
      <c r="N123">
        <f t="shared" si="11"/>
        <v>9.1807549253122886E-2</v>
      </c>
      <c r="O123">
        <f t="shared" si="11"/>
        <v>0.26170658604852032</v>
      </c>
      <c r="P123">
        <f t="shared" si="11"/>
        <v>0.16012084681376224</v>
      </c>
      <c r="Q123">
        <f t="shared" si="11"/>
        <v>-2.8655255760376062E-2</v>
      </c>
      <c r="R123">
        <f t="shared" si="11"/>
        <v>-2.2691411202070765E-2</v>
      </c>
      <c r="S123">
        <f t="shared" si="11"/>
        <v>7.6372978784573956E-2</v>
      </c>
      <c r="T123">
        <f t="shared" si="11"/>
        <v>-5.2095111883401927E-2</v>
      </c>
      <c r="U123">
        <f t="shared" si="11"/>
        <v>0.12967782330853281</v>
      </c>
      <c r="V123">
        <f t="shared" si="11"/>
        <v>0.26826398659467954</v>
      </c>
      <c r="W123">
        <f t="shared" si="11"/>
        <v>8.2147971608998879E-2</v>
      </c>
      <c r="X123">
        <f t="shared" si="11"/>
        <v>5.3652713492320217E-2</v>
      </c>
      <c r="Y123">
        <f t="shared" si="11"/>
        <v>5.7791125028408025E-2</v>
      </c>
      <c r="Z123">
        <f t="shared" si="11"/>
        <v>5.6239718322876109E-2</v>
      </c>
      <c r="AA123">
        <f t="shared" si="11"/>
        <v>0.20860539286818258</v>
      </c>
      <c r="AB123">
        <f t="shared" si="11"/>
        <v>0.16417730467055089</v>
      </c>
      <c r="AC123">
        <f t="shared" si="11"/>
        <v>6.979576193554192E-2</v>
      </c>
      <c r="AD123">
        <f t="shared" si="11"/>
        <v>0.14981227822866008</v>
      </c>
      <c r="AE123">
        <f t="shared" si="11"/>
        <v>2.0906684819313643E-2</v>
      </c>
      <c r="AF123">
        <f t="shared" si="11"/>
        <v>3.9687748267242542E-2</v>
      </c>
      <c r="AG123">
        <f t="shared" si="11"/>
        <v>1.3333530869465168E-2</v>
      </c>
      <c r="AH123">
        <f t="shared" si="11"/>
        <v>0.14121388879653893</v>
      </c>
      <c r="AI123">
        <f t="shared" si="11"/>
        <v>6.3657851771977622E-2</v>
      </c>
      <c r="AJ123">
        <f t="shared" si="11"/>
        <v>7.5270627789865777E-2</v>
      </c>
      <c r="AK123">
        <f t="shared" si="11"/>
        <v>2.7973852042406162E-2</v>
      </c>
      <c r="AL123">
        <f t="shared" si="11"/>
        <v>0.12088189156044979</v>
      </c>
      <c r="AM123">
        <f t="shared" si="11"/>
        <v>9.0322638293285698E-2</v>
      </c>
      <c r="AN123">
        <f t="shared" si="11"/>
        <v>0.11025648627003301</v>
      </c>
      <c r="AO123">
        <f t="shared" si="11"/>
        <v>1.6529301951210506E-2</v>
      </c>
      <c r="AP123">
        <f t="shared" si="11"/>
        <v>-1.9338187487784802E-2</v>
      </c>
      <c r="AQ123">
        <f t="shared" si="11"/>
        <v>0.17881892624275258</v>
      </c>
      <c r="AR123">
        <f t="shared" si="11"/>
        <v>0.11826392049373406</v>
      </c>
      <c r="AS123">
        <f t="shared" si="11"/>
        <v>9.8734840685688857E-2</v>
      </c>
      <c r="AT123">
        <f t="shared" si="11"/>
        <v>7.119006355977256E-2</v>
      </c>
    </row>
    <row r="124" spans="1:46">
      <c r="A124" s="283">
        <v>15</v>
      </c>
      <c r="B124" s="3">
        <v>40114</v>
      </c>
      <c r="C124">
        <f t="shared" ref="C124:AT124" si="12">LN(C70/C69)</f>
        <v>-5.2275427205513599E-2</v>
      </c>
      <c r="D124">
        <f t="shared" si="12"/>
        <v>-6.8137805167218027E-2</v>
      </c>
      <c r="E124">
        <f t="shared" si="12"/>
        <v>-3.4786116085415542E-2</v>
      </c>
      <c r="F124">
        <f t="shared" si="12"/>
        <v>2.8515170308021233E-2</v>
      </c>
      <c r="G124">
        <f t="shared" si="12"/>
        <v>-5.3908486348765343E-3</v>
      </c>
      <c r="H124">
        <f t="shared" si="12"/>
        <v>-1.0695289116747919E-2</v>
      </c>
      <c r="I124">
        <f t="shared" si="12"/>
        <v>1.3710087938532838E-2</v>
      </c>
      <c r="J124">
        <f t="shared" si="12"/>
        <v>-1.3605652055778709E-2</v>
      </c>
      <c r="K124">
        <f t="shared" si="12"/>
        <v>-4.6792161506758939E-2</v>
      </c>
      <c r="L124">
        <f t="shared" si="12"/>
        <v>8.0761356644458382E-2</v>
      </c>
      <c r="M124">
        <f t="shared" si="12"/>
        <v>3.4289073478632165E-2</v>
      </c>
      <c r="N124">
        <f t="shared" si="12"/>
        <v>-3.5718082602079232E-2</v>
      </c>
      <c r="O124">
        <f t="shared" si="12"/>
        <v>0.1964753042320484</v>
      </c>
      <c r="P124">
        <f t="shared" si="12"/>
        <v>-4.7006042375930715E-2</v>
      </c>
      <c r="Q124">
        <f t="shared" si="12"/>
        <v>2.2989518224698781E-2</v>
      </c>
      <c r="R124">
        <f t="shared" si="12"/>
        <v>-9.8847592325419734E-3</v>
      </c>
      <c r="S124">
        <f t="shared" si="12"/>
        <v>-5.2842481374379933E-2</v>
      </c>
      <c r="T124">
        <f t="shared" si="12"/>
        <v>0</v>
      </c>
      <c r="U124">
        <f t="shared" si="12"/>
        <v>-0.10937255714778711</v>
      </c>
      <c r="V124">
        <f t="shared" si="12"/>
        <v>-0.12516314295400616</v>
      </c>
      <c r="W124">
        <f t="shared" si="12"/>
        <v>3.1058397019972803E-2</v>
      </c>
      <c r="X124">
        <f t="shared" si="12"/>
        <v>-3.0305349495328922E-2</v>
      </c>
      <c r="Y124">
        <f t="shared" si="12"/>
        <v>2.8270433938255526E-2</v>
      </c>
      <c r="Z124">
        <f t="shared" si="12"/>
        <v>-6.4538521137571178E-2</v>
      </c>
      <c r="AA124">
        <f t="shared" si="12"/>
        <v>-2.5425098365810056E-2</v>
      </c>
      <c r="AB124">
        <f t="shared" si="12"/>
        <v>-0.18408367178735388</v>
      </c>
      <c r="AC124">
        <f t="shared" si="12"/>
        <v>4.9325066562501491E-2</v>
      </c>
      <c r="AD124">
        <f t="shared" si="12"/>
        <v>0.3426642068691339</v>
      </c>
      <c r="AE124">
        <f t="shared" si="12"/>
        <v>4.385188252884941E-2</v>
      </c>
      <c r="AF124">
        <f t="shared" si="12"/>
        <v>-2.3623145763435941E-2</v>
      </c>
      <c r="AG124">
        <f t="shared" si="12"/>
        <v>0</v>
      </c>
      <c r="AH124">
        <f t="shared" si="12"/>
        <v>-6.4538521137571178E-2</v>
      </c>
      <c r="AI124">
        <f t="shared" si="12"/>
        <v>-4.4150182091168312E-3</v>
      </c>
      <c r="AJ124">
        <f t="shared" si="12"/>
        <v>-2.7566829832654592E-2</v>
      </c>
      <c r="AK124">
        <f t="shared" si="12"/>
        <v>0.1352540459359689</v>
      </c>
      <c r="AL124">
        <f t="shared" si="12"/>
        <v>5.7708317620646772E-2</v>
      </c>
      <c r="AM124">
        <f t="shared" si="12"/>
        <v>-5.1293294387550578E-2</v>
      </c>
      <c r="AN124">
        <f t="shared" si="12"/>
        <v>-3.9220713153281267E-2</v>
      </c>
      <c r="AO124">
        <f t="shared" si="12"/>
        <v>5.4496047675644645E-3</v>
      </c>
      <c r="AP124">
        <f t="shared" si="12"/>
        <v>8.3647464747074005E-2</v>
      </c>
      <c r="AQ124">
        <f t="shared" si="12"/>
        <v>0.17154242253912749</v>
      </c>
      <c r="AR124">
        <f t="shared" si="12"/>
        <v>6.5139302170961449E-2</v>
      </c>
      <c r="AS124">
        <f t="shared" si="12"/>
        <v>0</v>
      </c>
      <c r="AT124">
        <f t="shared" si="12"/>
        <v>-1.4067059356206025E-2</v>
      </c>
    </row>
    <row r="125" spans="1:46">
      <c r="A125" s="283">
        <v>16</v>
      </c>
      <c r="B125" s="3">
        <v>40145</v>
      </c>
      <c r="C125">
        <f t="shared" ref="C125:AT125" si="13">LN(C71/C70)</f>
        <v>-9.4667906891829079E-2</v>
      </c>
      <c r="D125">
        <f t="shared" si="13"/>
        <v>-5.9423420470800764E-2</v>
      </c>
      <c r="E125">
        <f t="shared" si="13"/>
        <v>-1.3363227812167141E-2</v>
      </c>
      <c r="F125">
        <f t="shared" si="13"/>
        <v>-2.4391453124159124E-2</v>
      </c>
      <c r="G125">
        <f t="shared" si="13"/>
        <v>4.2334363826560736E-2</v>
      </c>
      <c r="H125">
        <f t="shared" si="13"/>
        <v>6.252035698133393E-2</v>
      </c>
      <c r="I125">
        <f t="shared" si="13"/>
        <v>0.16321558689046278</v>
      </c>
      <c r="J125">
        <f t="shared" si="13"/>
        <v>1.3605652055778678E-2</v>
      </c>
      <c r="K125">
        <f t="shared" si="13"/>
        <v>5.9701669865037544E-3</v>
      </c>
      <c r="L125">
        <f t="shared" si="13"/>
        <v>-1.7391742711869222E-2</v>
      </c>
      <c r="M125">
        <f t="shared" si="13"/>
        <v>-0.18457127652797004</v>
      </c>
      <c r="N125">
        <f t="shared" si="13"/>
        <v>-8.5359848951156864E-2</v>
      </c>
      <c r="O125">
        <f t="shared" si="13"/>
        <v>9.7764168765891432E-2</v>
      </c>
      <c r="P125">
        <f t="shared" si="13"/>
        <v>0.10642946284673135</v>
      </c>
      <c r="Q125">
        <f t="shared" si="13"/>
        <v>1.6901810802603036E-2</v>
      </c>
      <c r="R125">
        <f t="shared" si="13"/>
        <v>3.5776173165283649E-2</v>
      </c>
      <c r="S125">
        <f t="shared" si="13"/>
        <v>-3.9530838756635205E-2</v>
      </c>
      <c r="T125">
        <f t="shared" si="13"/>
        <v>4.1890941709160127E-2</v>
      </c>
      <c r="U125">
        <f t="shared" si="13"/>
        <v>-6.7558151011291215E-2</v>
      </c>
      <c r="V125">
        <f t="shared" si="13"/>
        <v>-0.16430305129127629</v>
      </c>
      <c r="W125">
        <f t="shared" si="13"/>
        <v>-6.134988567515944E-3</v>
      </c>
      <c r="X125">
        <f t="shared" si="13"/>
        <v>1.5267472130788381E-2</v>
      </c>
      <c r="Y125">
        <f t="shared" si="13"/>
        <v>-1.1682375854356568E-2</v>
      </c>
      <c r="Z125">
        <f t="shared" si="13"/>
        <v>-8.3682496705165792E-3</v>
      </c>
      <c r="AA125">
        <f t="shared" si="13"/>
        <v>-2.6088436084297967E-2</v>
      </c>
      <c r="AB125">
        <f t="shared" si="13"/>
        <v>3.8406380860723142E-2</v>
      </c>
      <c r="AC125">
        <f t="shared" si="13"/>
        <v>-6.0624621816434736E-2</v>
      </c>
      <c r="AD125">
        <f t="shared" si="13"/>
        <v>-3.7740327982846968E-2</v>
      </c>
      <c r="AE125">
        <f t="shared" si="13"/>
        <v>-0.17246926035094304</v>
      </c>
      <c r="AF125">
        <f t="shared" si="13"/>
        <v>-0.12277555725950445</v>
      </c>
      <c r="AG125">
        <f t="shared" si="13"/>
        <v>-2.6847250036188052E-2</v>
      </c>
      <c r="AH125">
        <f t="shared" si="13"/>
        <v>5.5569851154810786E-2</v>
      </c>
      <c r="AI125">
        <f t="shared" si="13"/>
        <v>-4.4345970678657531E-3</v>
      </c>
      <c r="AJ125">
        <f t="shared" si="13"/>
        <v>-2.5158559636154987E-2</v>
      </c>
      <c r="AK125">
        <f t="shared" si="13"/>
        <v>-4.6233195039207933E-2</v>
      </c>
      <c r="AL125">
        <f t="shared" si="13"/>
        <v>-0.20119004109833752</v>
      </c>
      <c r="AM125">
        <f t="shared" si="13"/>
        <v>-0.21837027256155198</v>
      </c>
      <c r="AN125">
        <f t="shared" si="13"/>
        <v>-9.588177170328252E-2</v>
      </c>
      <c r="AO125">
        <f t="shared" si="13"/>
        <v>-1.643872634315972E-2</v>
      </c>
      <c r="AP125">
        <f t="shared" si="13"/>
        <v>-2.7112427550688999E-2</v>
      </c>
      <c r="AQ125">
        <f t="shared" si="13"/>
        <v>3.8652154434279114E-2</v>
      </c>
      <c r="AR125">
        <f t="shared" si="13"/>
        <v>-5.5569851154810765E-2</v>
      </c>
      <c r="AS125">
        <f t="shared" si="13"/>
        <v>-8.9345100335849859E-2</v>
      </c>
      <c r="AT125">
        <f t="shared" si="13"/>
        <v>-4.5505773178402716E-2</v>
      </c>
    </row>
    <row r="126" spans="1:46">
      <c r="A126" s="283">
        <v>17</v>
      </c>
      <c r="B126" s="3">
        <v>40175</v>
      </c>
      <c r="C126">
        <f t="shared" ref="C126:AT126" si="14">LN(C72/C71)</f>
        <v>5.4307718882856494E-2</v>
      </c>
      <c r="D126">
        <f t="shared" si="14"/>
        <v>8.4741228455090717E-2</v>
      </c>
      <c r="E126">
        <f t="shared" si="14"/>
        <v>3.9565600206191098E-2</v>
      </c>
      <c r="F126">
        <f t="shared" si="14"/>
        <v>4.8202101817877686E-2</v>
      </c>
      <c r="G126">
        <f t="shared" si="14"/>
        <v>7.9644063059925316E-2</v>
      </c>
      <c r="H126">
        <f t="shared" si="14"/>
        <v>0.10989567082321755</v>
      </c>
      <c r="I126">
        <f t="shared" si="14"/>
        <v>0.10613648180381008</v>
      </c>
      <c r="J126">
        <f t="shared" si="14"/>
        <v>0.12873386684313512</v>
      </c>
      <c r="K126">
        <f t="shared" si="14"/>
        <v>2.9327615094519921E-2</v>
      </c>
      <c r="L126">
        <f t="shared" si="14"/>
        <v>4.2925044717033844E-2</v>
      </c>
      <c r="M126">
        <f t="shared" si="14"/>
        <v>5.264373348542209E-2</v>
      </c>
      <c r="N126">
        <f t="shared" si="14"/>
        <v>4.9382816405825767E-3</v>
      </c>
      <c r="O126">
        <f t="shared" si="14"/>
        <v>9.3526058010823546E-2</v>
      </c>
      <c r="P126">
        <f t="shared" si="14"/>
        <v>0.14725885378933712</v>
      </c>
      <c r="Q126">
        <f t="shared" si="14"/>
        <v>5.436120921888743E-2</v>
      </c>
      <c r="R126">
        <f t="shared" si="14"/>
        <v>0</v>
      </c>
      <c r="S126">
        <f t="shared" si="14"/>
        <v>4.7252884850545511E-2</v>
      </c>
      <c r="T126">
        <f t="shared" si="14"/>
        <v>8.8292607145678423E-2</v>
      </c>
      <c r="U126">
        <f t="shared" si="14"/>
        <v>0.17693070815907844</v>
      </c>
      <c r="V126">
        <f t="shared" si="14"/>
        <v>6.2303883336154837E-2</v>
      </c>
      <c r="W126">
        <f t="shared" si="14"/>
        <v>4.2174925050712714E-2</v>
      </c>
      <c r="X126">
        <f t="shared" si="14"/>
        <v>0.13447791422855357</v>
      </c>
      <c r="Y126">
        <f t="shared" si="14"/>
        <v>8.5541436992481082E-2</v>
      </c>
      <c r="Z126">
        <f t="shared" si="14"/>
        <v>8.0688911250142659E-2</v>
      </c>
      <c r="AA126">
        <f t="shared" si="14"/>
        <v>5.1513534450107958E-2</v>
      </c>
      <c r="AB126">
        <f t="shared" si="14"/>
        <v>4.4805901574092345E-2</v>
      </c>
      <c r="AC126">
        <f t="shared" si="14"/>
        <v>4.4451762570833588E-2</v>
      </c>
      <c r="AD126">
        <f t="shared" si="14"/>
        <v>0.11492996667397702</v>
      </c>
      <c r="AE126">
        <f t="shared" si="14"/>
        <v>0.13890906385864107</v>
      </c>
      <c r="AF126">
        <f t="shared" si="14"/>
        <v>9.449084342092251E-2</v>
      </c>
      <c r="AG126">
        <f t="shared" si="14"/>
        <v>-4.1672696400568074E-2</v>
      </c>
      <c r="AH126">
        <f t="shared" si="14"/>
        <v>6.5382759262851711E-2</v>
      </c>
      <c r="AI126">
        <f t="shared" si="14"/>
        <v>4.3485111939738891E-2</v>
      </c>
      <c r="AJ126">
        <f t="shared" si="14"/>
        <v>8.5417751154351768E-2</v>
      </c>
      <c r="AK126">
        <f t="shared" si="14"/>
        <v>0.11602895697474976</v>
      </c>
      <c r="AL126">
        <f t="shared" si="14"/>
        <v>0.12851885080097841</v>
      </c>
      <c r="AM126">
        <f t="shared" si="14"/>
        <v>0.13872620950162656</v>
      </c>
      <c r="AN126">
        <f t="shared" si="14"/>
        <v>9.0151096994297478E-2</v>
      </c>
      <c r="AO126">
        <f t="shared" si="14"/>
        <v>3.7944931564123471E-2</v>
      </c>
      <c r="AP126">
        <f t="shared" si="14"/>
        <v>2.7112427550688968E-2</v>
      </c>
      <c r="AQ126">
        <f t="shared" si="14"/>
        <v>5.9787918378973223E-2</v>
      </c>
      <c r="AR126">
        <f t="shared" si="14"/>
        <v>3.7387532071620412E-2</v>
      </c>
      <c r="AS126">
        <f t="shared" si="14"/>
        <v>0.16345307248957175</v>
      </c>
      <c r="AT126">
        <f t="shared" si="14"/>
        <v>8.728084095045574E-2</v>
      </c>
    </row>
    <row r="127" spans="1:46">
      <c r="A127" s="283">
        <v>18</v>
      </c>
      <c r="B127" s="3">
        <v>40206</v>
      </c>
      <c r="C127">
        <f t="shared" ref="C127:AT127" si="15">LN(C73/C72)</f>
        <v>-2.6852603713495043E-2</v>
      </c>
      <c r="D127">
        <f t="shared" si="15"/>
        <v>-5.1293294387550578E-2</v>
      </c>
      <c r="E127">
        <f t="shared" si="15"/>
        <v>-3.5091319811270061E-2</v>
      </c>
      <c r="F127">
        <f t="shared" si="15"/>
        <v>-6.8992871486951435E-2</v>
      </c>
      <c r="G127">
        <f t="shared" si="15"/>
        <v>-5.9130523226822461E-2</v>
      </c>
      <c r="H127">
        <f t="shared" si="15"/>
        <v>-0.15113862935726674</v>
      </c>
      <c r="I127">
        <f t="shared" si="15"/>
        <v>-8.3229859878326651E-2</v>
      </c>
      <c r="J127">
        <f t="shared" si="15"/>
        <v>-4.2473522558728154E-2</v>
      </c>
      <c r="K127">
        <f t="shared" si="15"/>
        <v>-2.9327615094520063E-2</v>
      </c>
      <c r="L127">
        <f t="shared" si="15"/>
        <v>-4.2925044717033886E-2</v>
      </c>
      <c r="M127">
        <f t="shared" si="15"/>
        <v>-5.2643733485422027E-2</v>
      </c>
      <c r="N127">
        <f t="shared" si="15"/>
        <v>-7.6764016211838149E-2</v>
      </c>
      <c r="O127">
        <f t="shared" si="15"/>
        <v>0</v>
      </c>
      <c r="P127">
        <f t="shared" si="15"/>
        <v>-5.545130453621426E-2</v>
      </c>
      <c r="Q127">
        <f t="shared" si="15"/>
        <v>-9.4252538246189274E-2</v>
      </c>
      <c r="R127">
        <f t="shared" si="15"/>
        <v>3.1897953681000808E-3</v>
      </c>
      <c r="S127">
        <f t="shared" si="15"/>
        <v>-3.9220713153281267E-2</v>
      </c>
      <c r="T127">
        <f t="shared" si="15"/>
        <v>-3.3415996919843947E-2</v>
      </c>
      <c r="U127">
        <f t="shared" si="15"/>
        <v>-4.1385216162854482E-2</v>
      </c>
      <c r="V127">
        <f t="shared" si="15"/>
        <v>-0.11359717772370533</v>
      </c>
      <c r="W127">
        <f t="shared" si="15"/>
        <v>-3.9102726013742602E-2</v>
      </c>
      <c r="X127">
        <f t="shared" si="15"/>
        <v>-4.7466537238923606E-2</v>
      </c>
      <c r="Y127">
        <f t="shared" si="15"/>
        <v>-3.6247790392341037E-2</v>
      </c>
      <c r="Z127">
        <f t="shared" si="15"/>
        <v>-0.16846452213252835</v>
      </c>
      <c r="AA127">
        <f t="shared" si="15"/>
        <v>-6.4817500076470816E-2</v>
      </c>
      <c r="AB127">
        <f t="shared" si="15"/>
        <v>-4.4805901574092248E-2</v>
      </c>
      <c r="AC127">
        <f t="shared" si="15"/>
        <v>2.681125745065677E-2</v>
      </c>
      <c r="AD127">
        <f t="shared" si="15"/>
        <v>-4.6792161506758939E-2</v>
      </c>
      <c r="AE127">
        <f t="shared" si="15"/>
        <v>-0.10801857683930272</v>
      </c>
      <c r="AF127">
        <f t="shared" si="15"/>
        <v>-0.10354067894084033</v>
      </c>
      <c r="AG127">
        <f t="shared" si="15"/>
        <v>-2.1506205220963619E-2</v>
      </c>
      <c r="AH127">
        <f t="shared" si="15"/>
        <v>-8.8162787594671596E-2</v>
      </c>
      <c r="AI127">
        <f t="shared" si="15"/>
        <v>-4.7939462289119064E-2</v>
      </c>
      <c r="AJ127">
        <f t="shared" si="15"/>
        <v>-7.2759354282428315E-2</v>
      </c>
      <c r="AK127">
        <f t="shared" si="15"/>
        <v>-3.4289073478632075E-2</v>
      </c>
      <c r="AL127">
        <f t="shared" si="15"/>
        <v>-0.10034797383428198</v>
      </c>
      <c r="AM127">
        <f t="shared" si="15"/>
        <v>-0.13279147398181221</v>
      </c>
      <c r="AN127">
        <f t="shared" si="15"/>
        <v>-8.3881483980702123E-2</v>
      </c>
      <c r="AO127">
        <f t="shared" si="15"/>
        <v>-4.3485111939738891E-2</v>
      </c>
      <c r="AP127">
        <f t="shared" si="15"/>
        <v>0.13357915609980212</v>
      </c>
      <c r="AQ127">
        <f t="shared" si="15"/>
        <v>-0.16989903679539747</v>
      </c>
      <c r="AR127">
        <f t="shared" si="15"/>
        <v>-4.6956983087770979E-2</v>
      </c>
      <c r="AS127">
        <f t="shared" si="15"/>
        <v>-2.409755157906053E-2</v>
      </c>
      <c r="AT127">
        <f t="shared" si="15"/>
        <v>-6.7836101575754509E-2</v>
      </c>
    </row>
    <row r="128" spans="1:46">
      <c r="A128" s="283">
        <v>19</v>
      </c>
      <c r="B128" s="3">
        <v>40237</v>
      </c>
      <c r="C128">
        <f t="shared" ref="C128:AT128" si="16">LN(C74/C73)</f>
        <v>6.1527728087859522E-2</v>
      </c>
      <c r="D128">
        <f t="shared" si="16"/>
        <v>1.9544596072970131E-2</v>
      </c>
      <c r="E128">
        <f t="shared" si="16"/>
        <v>3.9392401710660684E-2</v>
      </c>
      <c r="F128">
        <f t="shared" si="16"/>
        <v>3.306086226088821E-2</v>
      </c>
      <c r="G128">
        <f t="shared" si="16"/>
        <v>5.4334350963329517E-2</v>
      </c>
      <c r="H128">
        <f t="shared" si="16"/>
        <v>7.5985906977922055E-2</v>
      </c>
      <c r="I128">
        <f t="shared" si="16"/>
        <v>3.7030527301088884E-2</v>
      </c>
      <c r="J128">
        <f t="shared" si="16"/>
        <v>-5.0858417233490966E-2</v>
      </c>
      <c r="K128">
        <f t="shared" si="16"/>
        <v>-3.0213778596496595E-2</v>
      </c>
      <c r="L128">
        <f t="shared" si="16"/>
        <v>8.4083117210541444E-2</v>
      </c>
      <c r="M128">
        <f t="shared" si="16"/>
        <v>1.3423020332140771E-2</v>
      </c>
      <c r="N128">
        <f t="shared" si="16"/>
        <v>5.3050522296930981E-3</v>
      </c>
      <c r="O128">
        <f t="shared" si="16"/>
        <v>9.3685484077323036E-2</v>
      </c>
      <c r="P128">
        <f t="shared" si="16"/>
        <v>3.4486176071169404E-2</v>
      </c>
      <c r="Q128">
        <f t="shared" si="16"/>
        <v>8.3614140041133517E-2</v>
      </c>
      <c r="R128">
        <f t="shared" si="16"/>
        <v>3.4432196421484221E-2</v>
      </c>
      <c r="S128">
        <f t="shared" si="16"/>
        <v>6.2035390919452697E-2</v>
      </c>
      <c r="T128">
        <f t="shared" si="16"/>
        <v>4.2761859338081701E-2</v>
      </c>
      <c r="U128">
        <f t="shared" si="16"/>
        <v>3.2335380642936451E-2</v>
      </c>
      <c r="V128">
        <f t="shared" si="16"/>
        <v>0</v>
      </c>
      <c r="W128">
        <f t="shared" si="16"/>
        <v>5.95413936910167E-2</v>
      </c>
      <c r="X128">
        <f t="shared" si="16"/>
        <v>-5.7158413839948637E-2</v>
      </c>
      <c r="Y128">
        <f t="shared" si="16"/>
        <v>5.1237364411865612E-2</v>
      </c>
      <c r="Z128">
        <f t="shared" si="16"/>
        <v>8.7775610882385585E-2</v>
      </c>
      <c r="AA128">
        <f t="shared" si="16"/>
        <v>5.2185753170570247E-2</v>
      </c>
      <c r="AB128">
        <f t="shared" si="16"/>
        <v>3.6003888756002085E-2</v>
      </c>
      <c r="AC128">
        <f t="shared" si="16"/>
        <v>-3.2260862218221324E-2</v>
      </c>
      <c r="AD128">
        <f t="shared" si="16"/>
        <v>5.9701669865039747E-3</v>
      </c>
      <c r="AE128">
        <f t="shared" si="16"/>
        <v>2.6267926820610105E-2</v>
      </c>
      <c r="AF128">
        <f t="shared" si="16"/>
        <v>5.3109825313948332E-2</v>
      </c>
      <c r="AG128">
        <f t="shared" si="16"/>
        <v>2.8573372444055948E-2</v>
      </c>
      <c r="AH128">
        <f t="shared" si="16"/>
        <v>2.7274417919659306E-2</v>
      </c>
      <c r="AI128">
        <f t="shared" si="16"/>
        <v>8.8889474172459942E-3</v>
      </c>
      <c r="AJ128">
        <f t="shared" si="16"/>
        <v>5.5059777183027389E-2</v>
      </c>
      <c r="AK128">
        <f t="shared" si="16"/>
        <v>3.4289073478632165E-2</v>
      </c>
      <c r="AL128">
        <f t="shared" si="16"/>
        <v>-2.8170876966696335E-2</v>
      </c>
      <c r="AM128">
        <f t="shared" si="16"/>
        <v>0.29944691403136747</v>
      </c>
      <c r="AN128">
        <f t="shared" si="16"/>
        <v>7.8117779263952067E-2</v>
      </c>
      <c r="AO128">
        <f t="shared" si="16"/>
        <v>1.6529301951210506E-2</v>
      </c>
      <c r="AP128">
        <f t="shared" si="16"/>
        <v>7.5325170599924843E-2</v>
      </c>
      <c r="AQ128">
        <f t="shared" si="16"/>
        <v>6.1557892999433581E-2</v>
      </c>
      <c r="AR128">
        <f t="shared" si="16"/>
        <v>-7.5884697524872688E-2</v>
      </c>
      <c r="AS128">
        <f t="shared" si="16"/>
        <v>6.3012967828734168E-2</v>
      </c>
      <c r="AT128">
        <f t="shared" si="16"/>
        <v>4.4589654207924587E-2</v>
      </c>
    </row>
    <row r="129" spans="1:46">
      <c r="A129" s="283">
        <v>20</v>
      </c>
      <c r="B129" s="3">
        <v>40265</v>
      </c>
      <c r="C129">
        <f t="shared" ref="C129:AT129" si="17">LN(C75/C74)</f>
        <v>-2.2939430940229426E-2</v>
      </c>
      <c r="D129">
        <f t="shared" si="17"/>
        <v>-6.4725145056174788E-3</v>
      </c>
      <c r="E129">
        <f t="shared" si="17"/>
        <v>0.14738350543267428</v>
      </c>
      <c r="F129">
        <f t="shared" si="17"/>
        <v>1.6129381929883498E-2</v>
      </c>
      <c r="G129">
        <f t="shared" si="17"/>
        <v>-2.9270382300113338E-2</v>
      </c>
      <c r="H129">
        <f t="shared" si="17"/>
        <v>2.4097551579060524E-2</v>
      </c>
      <c r="I129">
        <f t="shared" si="17"/>
        <v>9.0341425127222735E-2</v>
      </c>
      <c r="J129">
        <f t="shared" si="17"/>
        <v>4.671762456745978E-2</v>
      </c>
      <c r="K129">
        <f t="shared" si="17"/>
        <v>0.2095547072523134</v>
      </c>
      <c r="L129">
        <f t="shared" si="17"/>
        <v>0</v>
      </c>
      <c r="M129">
        <f t="shared" si="17"/>
        <v>-1.3423020332140661E-2</v>
      </c>
      <c r="N129">
        <f t="shared" si="17"/>
        <v>0.10058723690516862</v>
      </c>
      <c r="O129">
        <f t="shared" si="17"/>
        <v>0.18502791839169747</v>
      </c>
      <c r="P129">
        <f t="shared" si="17"/>
        <v>0.14417371423682213</v>
      </c>
      <c r="Q129">
        <f t="shared" si="17"/>
        <v>1.0638398205055797E-2</v>
      </c>
      <c r="R129">
        <f t="shared" si="17"/>
        <v>-2.4923408452456851E-2</v>
      </c>
      <c r="S129">
        <f t="shared" si="17"/>
        <v>0.10686314554236125</v>
      </c>
      <c r="T129">
        <f t="shared" si="17"/>
        <v>1.8433701688837966E-2</v>
      </c>
      <c r="U129">
        <f t="shared" si="17"/>
        <v>6.595796779179737E-2</v>
      </c>
      <c r="V129">
        <f t="shared" si="17"/>
        <v>-3.8318864302136657E-2</v>
      </c>
      <c r="W129">
        <f t="shared" si="17"/>
        <v>0.12482306473273837</v>
      </c>
      <c r="X129">
        <f t="shared" si="17"/>
        <v>-0.15906469462968739</v>
      </c>
      <c r="Y129">
        <f t="shared" si="17"/>
        <v>0.13962331982104731</v>
      </c>
      <c r="Z129">
        <f t="shared" si="17"/>
        <v>6.5063593347061868E-2</v>
      </c>
      <c r="AA129">
        <f t="shared" si="17"/>
        <v>-1.7094433359300183E-2</v>
      </c>
      <c r="AB129">
        <f t="shared" si="17"/>
        <v>-2.6880662780480073E-2</v>
      </c>
      <c r="AC129">
        <f t="shared" si="17"/>
        <v>3.2260862218221262E-2</v>
      </c>
      <c r="AD129">
        <f t="shared" si="17"/>
        <v>3.5091319811269978E-2</v>
      </c>
      <c r="AE129">
        <f t="shared" si="17"/>
        <v>7.8331843269906998E-2</v>
      </c>
      <c r="AF129">
        <f t="shared" si="17"/>
        <v>7.8715567465473896E-2</v>
      </c>
      <c r="AG129">
        <f t="shared" si="17"/>
        <v>2.0906684819313643E-2</v>
      </c>
      <c r="AH129">
        <f t="shared" si="17"/>
        <v>0.11028112500458875</v>
      </c>
      <c r="AI129">
        <f t="shared" si="17"/>
        <v>8.8106296821549059E-3</v>
      </c>
      <c r="AJ129">
        <f t="shared" si="17"/>
        <v>0.10714463745132774</v>
      </c>
      <c r="AK129">
        <f t="shared" si="17"/>
        <v>4.3963123421116204E-2</v>
      </c>
      <c r="AL129">
        <f t="shared" si="17"/>
        <v>7.1655988906435153E-2</v>
      </c>
      <c r="AM129">
        <f t="shared" si="17"/>
        <v>0.21433292163205478</v>
      </c>
      <c r="AN129">
        <f t="shared" si="17"/>
        <v>0.10939859440710656</v>
      </c>
      <c r="AO129">
        <f t="shared" si="17"/>
        <v>3.2260862218221262E-2</v>
      </c>
      <c r="AP129">
        <f t="shared" si="17"/>
        <v>3.5636479925466293E-2</v>
      </c>
      <c r="AQ129">
        <f t="shared" si="17"/>
        <v>0.19795330248565116</v>
      </c>
      <c r="AR129">
        <f t="shared" si="17"/>
        <v>1.2371291802546829E-2</v>
      </c>
      <c r="AS129">
        <f t="shared" si="17"/>
        <v>8.062973440010901E-2</v>
      </c>
      <c r="AT129">
        <f t="shared" si="17"/>
        <v>8.059408415948352E-2</v>
      </c>
    </row>
    <row r="130" spans="1:46">
      <c r="A130" s="283">
        <v>21</v>
      </c>
      <c r="B130" s="3">
        <v>40296</v>
      </c>
      <c r="C130">
        <f t="shared" ref="C130:AT130" si="18">LN(C76/C75)</f>
        <v>-9.8985580215722332E-2</v>
      </c>
      <c r="D130">
        <f t="shared" si="18"/>
        <v>-0.1316778239751997</v>
      </c>
      <c r="E130">
        <f t="shared" si="18"/>
        <v>-0.17788695972608889</v>
      </c>
      <c r="F130">
        <f t="shared" si="18"/>
        <v>-8.0321716972642666E-3</v>
      </c>
      <c r="G130">
        <f t="shared" si="18"/>
        <v>-5.599426935457482E-2</v>
      </c>
      <c r="H130">
        <f t="shared" si="18"/>
        <v>-0.10008345855698253</v>
      </c>
      <c r="I130">
        <f t="shared" si="18"/>
        <v>1.9741746849726193E-2</v>
      </c>
      <c r="J130">
        <f t="shared" si="18"/>
        <v>-2.5211419346496056E-2</v>
      </c>
      <c r="K130">
        <f t="shared" si="18"/>
        <v>-0.11034805716886534</v>
      </c>
      <c r="L130">
        <f t="shared" si="18"/>
        <v>-2.4491020008295755E-2</v>
      </c>
      <c r="M130">
        <f t="shared" si="18"/>
        <v>6.7340321813441194E-3</v>
      </c>
      <c r="N130">
        <f t="shared" si="18"/>
        <v>-0.10589228913486164</v>
      </c>
      <c r="O130">
        <f t="shared" si="18"/>
        <v>3.3225647628320386E-2</v>
      </c>
      <c r="P130">
        <f t="shared" si="18"/>
        <v>2.6784083906817403E-2</v>
      </c>
      <c r="Q130">
        <f t="shared" si="18"/>
        <v>0.11483925961237001</v>
      </c>
      <c r="R130">
        <f t="shared" si="18"/>
        <v>0</v>
      </c>
      <c r="S130">
        <f t="shared" si="18"/>
        <v>-1.3605652055778598E-2</v>
      </c>
      <c r="T130">
        <f t="shared" si="18"/>
        <v>4.9007579106694607E-2</v>
      </c>
      <c r="U130">
        <f t="shared" si="18"/>
        <v>-9.3609499122307496E-2</v>
      </c>
      <c r="V130">
        <f t="shared" si="18"/>
        <v>-3.9845908547199674E-2</v>
      </c>
      <c r="W130">
        <f t="shared" si="18"/>
        <v>-8.7939451302183613E-2</v>
      </c>
      <c r="X130">
        <f t="shared" si="18"/>
        <v>-3.5091319811270172E-2</v>
      </c>
      <c r="Y130">
        <f t="shared" si="18"/>
        <v>5.9210117473084994E-2</v>
      </c>
      <c r="Z130">
        <f t="shared" si="18"/>
        <v>-0.22906656961733179</v>
      </c>
      <c r="AA130">
        <f t="shared" si="18"/>
        <v>-2.6202372394023961E-2</v>
      </c>
      <c r="AB130">
        <f t="shared" si="18"/>
        <v>-0.11652247832319662</v>
      </c>
      <c r="AC130">
        <f t="shared" si="18"/>
        <v>-2.6811257450656815E-2</v>
      </c>
      <c r="AD130">
        <f t="shared" si="18"/>
        <v>-0.18232155679395459</v>
      </c>
      <c r="AE130">
        <f t="shared" si="18"/>
        <v>1.697833653441783E-2</v>
      </c>
      <c r="AF130">
        <f t="shared" si="18"/>
        <v>-3.9920212695374498E-3</v>
      </c>
      <c r="AG130">
        <f t="shared" si="18"/>
        <v>0</v>
      </c>
      <c r="AH130">
        <f t="shared" si="18"/>
        <v>3.5506688456909817E-2</v>
      </c>
      <c r="AI130">
        <f t="shared" si="18"/>
        <v>-7.2759354282428315E-2</v>
      </c>
      <c r="AJ130">
        <f t="shared" si="18"/>
        <v>-0.16220441463435514</v>
      </c>
      <c r="AK130">
        <f t="shared" si="18"/>
        <v>3.174869831458027E-2</v>
      </c>
      <c r="AL130">
        <f t="shared" si="18"/>
        <v>-9.4778406327289288E-2</v>
      </c>
      <c r="AM130">
        <f t="shared" si="18"/>
        <v>-0.14242034004176862</v>
      </c>
      <c r="AN130">
        <f t="shared" si="18"/>
        <v>-3.6943515191684324E-2</v>
      </c>
      <c r="AO130">
        <f t="shared" si="18"/>
        <v>-5.9963464767557172E-2</v>
      </c>
      <c r="AP130">
        <f t="shared" si="18"/>
        <v>5.4161707971342864E-2</v>
      </c>
      <c r="AQ130">
        <f t="shared" si="18"/>
        <v>-9.8580828672447551E-2</v>
      </c>
      <c r="AR130">
        <f t="shared" si="18"/>
        <v>-4.184710993550049E-2</v>
      </c>
      <c r="AS130">
        <f t="shared" si="18"/>
        <v>-9.6014653239588479E-2</v>
      </c>
      <c r="AT130">
        <f t="shared" si="18"/>
        <v>-4.0970412131337015E-2</v>
      </c>
    </row>
    <row r="131" spans="1:46">
      <c r="A131" s="283">
        <v>22</v>
      </c>
      <c r="B131" s="3">
        <v>40326</v>
      </c>
      <c r="C131">
        <f t="shared" ref="C131:AT131" si="19">LN(C77/C76)</f>
        <v>0</v>
      </c>
      <c r="D131">
        <f t="shared" si="19"/>
        <v>-3.007745523727795E-2</v>
      </c>
      <c r="E131">
        <f t="shared" si="19"/>
        <v>4.4150182091166933E-3</v>
      </c>
      <c r="F131">
        <f t="shared" si="19"/>
        <v>4.7252884850545511E-2</v>
      </c>
      <c r="G131">
        <f t="shared" si="19"/>
        <v>-5.9316577156419623E-2</v>
      </c>
      <c r="H131">
        <f t="shared" si="19"/>
        <v>-4.8527040894660319E-2</v>
      </c>
      <c r="I131">
        <f t="shared" si="19"/>
        <v>-6.7362837163077782E-2</v>
      </c>
      <c r="J131">
        <f t="shared" si="19"/>
        <v>0</v>
      </c>
      <c r="K131">
        <f t="shared" si="19"/>
        <v>3.8151765964376326E-2</v>
      </c>
      <c r="L131">
        <f t="shared" si="19"/>
        <v>2.4491020008295696E-2</v>
      </c>
      <c r="M131">
        <f t="shared" si="19"/>
        <v>-1.351371916672282E-2</v>
      </c>
      <c r="N131">
        <f t="shared" si="19"/>
        <v>1.0582109330537008E-2</v>
      </c>
      <c r="O131">
        <f t="shared" si="19"/>
        <v>0.12861737782209354</v>
      </c>
      <c r="P131">
        <f t="shared" si="19"/>
        <v>-2.6784083906817295E-2</v>
      </c>
      <c r="Q131">
        <f t="shared" si="19"/>
        <v>-3.8466280827796052E-2</v>
      </c>
      <c r="R131">
        <f t="shared" si="19"/>
        <v>-9.5087879690273006E-3</v>
      </c>
      <c r="S131">
        <f t="shared" si="19"/>
        <v>-4.1964199099032193E-2</v>
      </c>
      <c r="T131">
        <f t="shared" si="19"/>
        <v>4.2559614418795903E-2</v>
      </c>
      <c r="U131">
        <f t="shared" si="19"/>
        <v>9.3023926623136306E-3</v>
      </c>
      <c r="V131">
        <f t="shared" si="19"/>
        <v>3.9845908547199778E-2</v>
      </c>
      <c r="W131">
        <f t="shared" si="19"/>
        <v>-4.8511651425673673E-2</v>
      </c>
      <c r="X131">
        <f t="shared" si="19"/>
        <v>-1.801850550267825E-2</v>
      </c>
      <c r="Y131">
        <f t="shared" si="19"/>
        <v>-9.4961808436927739E-2</v>
      </c>
      <c r="Z131">
        <f t="shared" si="19"/>
        <v>-5.4947696783903779E-2</v>
      </c>
      <c r="AA131">
        <f t="shared" si="19"/>
        <v>1.7544309650909525E-2</v>
      </c>
      <c r="AB131">
        <f t="shared" si="19"/>
        <v>-3.1090587070031005E-2</v>
      </c>
      <c r="AC131">
        <f t="shared" si="19"/>
        <v>-1.0929070532190206E-2</v>
      </c>
      <c r="AD131">
        <f t="shared" si="19"/>
        <v>1.3698844358161927E-2</v>
      </c>
      <c r="AE131">
        <f t="shared" si="19"/>
        <v>-4.1242958534049134E-2</v>
      </c>
      <c r="AF131">
        <f t="shared" si="19"/>
        <v>-3.2523191705560062E-2</v>
      </c>
      <c r="AG131">
        <f t="shared" si="19"/>
        <v>-6.9204428445737952E-3</v>
      </c>
      <c r="AH131">
        <f t="shared" si="19"/>
        <v>-7.649603299010678E-2</v>
      </c>
      <c r="AI131">
        <f t="shared" si="19"/>
        <v>-1.9048194970694474E-2</v>
      </c>
      <c r="AJ131">
        <f t="shared" si="19"/>
        <v>3.1397200046678463E-3</v>
      </c>
      <c r="AK131">
        <f t="shared" si="19"/>
        <v>2.570835671020703E-2</v>
      </c>
      <c r="AL131">
        <f t="shared" si="19"/>
        <v>-4.7913355695897504E-2</v>
      </c>
      <c r="AM131">
        <f t="shared" si="19"/>
        <v>-5.4520838878417112E-2</v>
      </c>
      <c r="AN131">
        <f t="shared" si="19"/>
        <v>-6.6691374498672282E-2</v>
      </c>
      <c r="AO131">
        <f t="shared" si="19"/>
        <v>5.6022555486697516E-3</v>
      </c>
      <c r="AP131">
        <f t="shared" si="19"/>
        <v>7.6635549351922211E-2</v>
      </c>
      <c r="AQ131">
        <f t="shared" si="19"/>
        <v>5.6908132271879582E-2</v>
      </c>
      <c r="AR131">
        <f t="shared" si="19"/>
        <v>-4.2826617920007359E-3</v>
      </c>
      <c r="AS131">
        <f t="shared" si="19"/>
        <v>3.0536723860081702E-2</v>
      </c>
      <c r="AT131">
        <f t="shared" si="19"/>
        <v>-2.7154462874304442E-2</v>
      </c>
    </row>
    <row r="132" spans="1:46">
      <c r="A132" s="283">
        <v>23</v>
      </c>
      <c r="B132" s="3">
        <v>40357</v>
      </c>
      <c r="C132">
        <f t="shared" ref="C132:AT132" si="20">LN(C78/C77)</f>
        <v>0.12974938221943655</v>
      </c>
      <c r="D132">
        <f t="shared" si="20"/>
        <v>5.9276609929540307E-2</v>
      </c>
      <c r="E132">
        <f t="shared" si="20"/>
        <v>0.10050292165038115</v>
      </c>
      <c r="F132">
        <f t="shared" si="20"/>
        <v>0.15139964645536849</v>
      </c>
      <c r="G132">
        <f t="shared" si="20"/>
        <v>-2.8170876966696335E-2</v>
      </c>
      <c r="H132">
        <f t="shared" si="20"/>
        <v>8.9769999428709377E-2</v>
      </c>
      <c r="I132">
        <f t="shared" si="20"/>
        <v>7.3857751008478384E-2</v>
      </c>
      <c r="J132">
        <f t="shared" si="20"/>
        <v>0.12953405219190231</v>
      </c>
      <c r="K132">
        <f t="shared" si="20"/>
        <v>0.19384140062681601</v>
      </c>
      <c r="L132">
        <f t="shared" si="20"/>
        <v>3.9530838756635218E-2</v>
      </c>
      <c r="M132">
        <f t="shared" si="20"/>
        <v>0.25131442828090617</v>
      </c>
      <c r="N132">
        <f t="shared" si="20"/>
        <v>5.628083589858978E-2</v>
      </c>
      <c r="O132">
        <f t="shared" si="20"/>
        <v>0.15415067982725836</v>
      </c>
      <c r="P132">
        <f t="shared" si="20"/>
        <v>5.3565106584459413E-2</v>
      </c>
      <c r="Q132">
        <f t="shared" si="20"/>
        <v>0.15834355808729433</v>
      </c>
      <c r="R132">
        <f t="shared" si="20"/>
        <v>4.0567184989000124E-2</v>
      </c>
      <c r="S132">
        <f t="shared" si="20"/>
        <v>7.5637414205619979E-2</v>
      </c>
      <c r="T132">
        <f t="shared" si="20"/>
        <v>0.12699969076130752</v>
      </c>
      <c r="U132">
        <f t="shared" si="20"/>
        <v>-3.2944155719354148E-2</v>
      </c>
      <c r="V132">
        <f t="shared" si="20"/>
        <v>0.13840232285911913</v>
      </c>
      <c r="W132">
        <f t="shared" si="20"/>
        <v>7.0551110991965191E-2</v>
      </c>
      <c r="X132">
        <f t="shared" si="20"/>
        <v>0.10354067894084036</v>
      </c>
      <c r="Y132">
        <f t="shared" si="20"/>
        <v>0.15086120317685958</v>
      </c>
      <c r="Z132">
        <f t="shared" si="20"/>
        <v>0.14030754573506057</v>
      </c>
      <c r="AA132">
        <f t="shared" si="20"/>
        <v>4.671762456745978E-2</v>
      </c>
      <c r="AB132">
        <f t="shared" si="20"/>
        <v>6.1243625240718594E-2</v>
      </c>
      <c r="AC132">
        <f t="shared" si="20"/>
        <v>2.1739986636406038E-2</v>
      </c>
      <c r="AD132">
        <f t="shared" si="20"/>
        <v>0.18571714579509285</v>
      </c>
      <c r="AE132">
        <f t="shared" si="20"/>
        <v>2.7683428748416866E-2</v>
      </c>
      <c r="AF132">
        <f t="shared" si="20"/>
        <v>4.8396540861850239E-2</v>
      </c>
      <c r="AG132">
        <f t="shared" si="20"/>
        <v>6.920442844573757E-3</v>
      </c>
      <c r="AH132">
        <f t="shared" si="20"/>
        <v>0.10703275685018833</v>
      </c>
      <c r="AI132">
        <f t="shared" si="20"/>
        <v>3.7740327982847113E-2</v>
      </c>
      <c r="AJ132">
        <f t="shared" si="20"/>
        <v>3.3901551675681416E-2</v>
      </c>
      <c r="AK132">
        <f t="shared" si="20"/>
        <v>0.1239680427221302</v>
      </c>
      <c r="AL132">
        <f t="shared" si="20"/>
        <v>1.2195273093818206E-2</v>
      </c>
      <c r="AM132">
        <f t="shared" si="20"/>
        <v>0.12351371036536861</v>
      </c>
      <c r="AN132">
        <f t="shared" si="20"/>
        <v>3.944173205129662E-2</v>
      </c>
      <c r="AO132">
        <f t="shared" si="20"/>
        <v>-5.6022555486696752E-3</v>
      </c>
      <c r="AP132">
        <f t="shared" si="20"/>
        <v>9.9145389784040971E-2</v>
      </c>
      <c r="AQ132">
        <f t="shared" si="20"/>
        <v>0.23582871084152549</v>
      </c>
      <c r="AR132">
        <f t="shared" si="20"/>
        <v>1.2793351459909542E-2</v>
      </c>
      <c r="AS132">
        <f t="shared" si="20"/>
        <v>6.5477929379506805E-2</v>
      </c>
      <c r="AT132">
        <f t="shared" si="20"/>
        <v>7.6899797199709297E-2</v>
      </c>
    </row>
    <row r="133" spans="1:46">
      <c r="A133" s="283">
        <v>24</v>
      </c>
      <c r="B133" s="3">
        <v>40387</v>
      </c>
      <c r="C133">
        <f t="shared" ref="C133:AT133" si="21">LN(C79/C78)</f>
        <v>9.3422793273619076E-2</v>
      </c>
      <c r="D133">
        <f t="shared" si="21"/>
        <v>0.12177187221761637</v>
      </c>
      <c r="E133">
        <f t="shared" si="21"/>
        <v>0.1164541318063296</v>
      </c>
      <c r="F133">
        <f t="shared" si="21"/>
        <v>-5.9592097202245661E-2</v>
      </c>
      <c r="G133">
        <f t="shared" si="21"/>
        <v>3.3711057342311876E-2</v>
      </c>
      <c r="H133">
        <f t="shared" si="21"/>
        <v>6.359110278153135E-2</v>
      </c>
      <c r="I133">
        <f t="shared" si="21"/>
        <v>6.4530020069383971E-3</v>
      </c>
      <c r="J133">
        <f t="shared" si="21"/>
        <v>9.7855790003758492E-2</v>
      </c>
      <c r="K133">
        <f t="shared" si="21"/>
        <v>-1.3303965626362815E-2</v>
      </c>
      <c r="L133">
        <f t="shared" si="21"/>
        <v>-0.10622221325530742</v>
      </c>
      <c r="M133">
        <f t="shared" si="21"/>
        <v>-6.5597282485813355E-2</v>
      </c>
      <c r="N133">
        <f t="shared" si="21"/>
        <v>0.13041709549516373</v>
      </c>
      <c r="O133">
        <f t="shared" si="21"/>
        <v>0.17985546429876112</v>
      </c>
      <c r="P133">
        <f t="shared" si="21"/>
        <v>6.7229611784597285E-2</v>
      </c>
      <c r="Q133">
        <f t="shared" si="21"/>
        <v>4.0989344533196949E-2</v>
      </c>
      <c r="R133">
        <f t="shared" si="21"/>
        <v>5.6478604160470888E-2</v>
      </c>
      <c r="S133">
        <f t="shared" si="21"/>
        <v>1.3158084577511201E-2</v>
      </c>
      <c r="T133">
        <f t="shared" si="21"/>
        <v>9.1324835632724723E-3</v>
      </c>
      <c r="U133">
        <f t="shared" si="21"/>
        <v>-6.9334693401064101E-2</v>
      </c>
      <c r="V133">
        <f t="shared" si="21"/>
        <v>-2.7587956518829053E-2</v>
      </c>
      <c r="W133">
        <f t="shared" si="21"/>
        <v>0.10590532634959142</v>
      </c>
      <c r="X133">
        <f t="shared" si="21"/>
        <v>-6.782259633876106E-2</v>
      </c>
      <c r="Y133">
        <f t="shared" si="21"/>
        <v>3.0022538847467601E-2</v>
      </c>
      <c r="Z133">
        <f t="shared" si="21"/>
        <v>3.5718082602079246E-2</v>
      </c>
      <c r="AA133">
        <f t="shared" si="21"/>
        <v>6.6222786613135826E-2</v>
      </c>
      <c r="AB133">
        <f t="shared" si="21"/>
        <v>0.1043699261761302</v>
      </c>
      <c r="AC133">
        <f t="shared" si="21"/>
        <v>-2.173998663640599E-2</v>
      </c>
      <c r="AD133">
        <f t="shared" si="21"/>
        <v>0.20834533021526003</v>
      </c>
      <c r="AE133">
        <f t="shared" si="21"/>
        <v>1.6920877488337177E-2</v>
      </c>
      <c r="AF133">
        <f t="shared" si="21"/>
        <v>7.8431774610258787E-3</v>
      </c>
      <c r="AG133">
        <f t="shared" si="21"/>
        <v>4.0546094394350009E-2</v>
      </c>
      <c r="AH133">
        <f t="shared" si="21"/>
        <v>0</v>
      </c>
      <c r="AI133">
        <f t="shared" si="21"/>
        <v>1.8349138668196617E-2</v>
      </c>
      <c r="AJ133">
        <f t="shared" si="21"/>
        <v>9.2551557365245105E-2</v>
      </c>
      <c r="AK133">
        <f t="shared" si="21"/>
        <v>3.9565600206191098E-2</v>
      </c>
      <c r="AL133">
        <f t="shared" si="21"/>
        <v>-1.2195273093818243E-2</v>
      </c>
      <c r="AM133">
        <f t="shared" si="21"/>
        <v>0.27329333499968134</v>
      </c>
      <c r="AN133">
        <f t="shared" si="21"/>
        <v>-2.8013036227674006E-2</v>
      </c>
      <c r="AO133">
        <f t="shared" si="21"/>
        <v>4.3963123421116204E-2</v>
      </c>
      <c r="AP133">
        <f t="shared" si="21"/>
        <v>3.825093182699086E-2</v>
      </c>
      <c r="AQ133">
        <f t="shared" si="21"/>
        <v>-8.4388686458645949E-3</v>
      </c>
      <c r="AR133">
        <f t="shared" si="21"/>
        <v>1.2631746905900564E-2</v>
      </c>
      <c r="AS133">
        <f t="shared" si="21"/>
        <v>0.34249030894677601</v>
      </c>
      <c r="AT133">
        <f t="shared" si="21"/>
        <v>5.1040173044241667E-2</v>
      </c>
    </row>
    <row r="134" spans="1:46">
      <c r="A134" s="283">
        <v>25</v>
      </c>
      <c r="B134" s="3">
        <v>40418</v>
      </c>
      <c r="C134">
        <f t="shared" ref="C134:AT134" si="22">LN(C80/C79)</f>
        <v>1.0705033331120746E-2</v>
      </c>
      <c r="D134">
        <f t="shared" si="22"/>
        <v>-1.2820688429061434E-2</v>
      </c>
      <c r="E134">
        <f t="shared" si="22"/>
        <v>7.0671672230923528E-3</v>
      </c>
      <c r="F134">
        <f t="shared" si="22"/>
        <v>0.14660347419187544</v>
      </c>
      <c r="G134">
        <f t="shared" si="22"/>
        <v>3.2611585588760796E-2</v>
      </c>
      <c r="H134">
        <f t="shared" si="22"/>
        <v>-2.8848154337658392E-2</v>
      </c>
      <c r="I134">
        <f t="shared" si="22"/>
        <v>-2.2770072997214442E-2</v>
      </c>
      <c r="J134">
        <f t="shared" si="22"/>
        <v>2.5105921131076261E-2</v>
      </c>
      <c r="K134">
        <f t="shared" si="22"/>
        <v>5.2185753170570247E-2</v>
      </c>
      <c r="L134">
        <f t="shared" si="22"/>
        <v>0.12921173148000625</v>
      </c>
      <c r="M134">
        <f t="shared" si="22"/>
        <v>6.5597282485813271E-2</v>
      </c>
      <c r="N134">
        <f t="shared" si="22"/>
        <v>0.21876717671441098</v>
      </c>
      <c r="O134">
        <f t="shared" si="22"/>
        <v>6.7620187674979293E-2</v>
      </c>
      <c r="P134">
        <f t="shared" si="22"/>
        <v>0.262664309476493</v>
      </c>
      <c r="Q134">
        <f t="shared" si="22"/>
        <v>0.14376996377269763</v>
      </c>
      <c r="R134">
        <f t="shared" si="22"/>
        <v>7.5139644586091223E-2</v>
      </c>
      <c r="S134">
        <f t="shared" si="22"/>
        <v>0.15694788444831959</v>
      </c>
      <c r="T134">
        <f t="shared" si="22"/>
        <v>-4.6520015634892817E-2</v>
      </c>
      <c r="U134">
        <f t="shared" si="22"/>
        <v>3.5268138837458052E-2</v>
      </c>
      <c r="V134">
        <f t="shared" si="22"/>
        <v>0.17295380679035444</v>
      </c>
      <c r="W134">
        <f t="shared" si="22"/>
        <v>3.8466280827796143E-2</v>
      </c>
      <c r="X134">
        <f t="shared" si="22"/>
        <v>6.7822596338761088E-2</v>
      </c>
      <c r="Y134">
        <f t="shared" si="22"/>
        <v>-3.0022538847467455E-2</v>
      </c>
      <c r="Z134">
        <f t="shared" si="22"/>
        <v>6.7822596338761088E-2</v>
      </c>
      <c r="AA134">
        <f t="shared" si="22"/>
        <v>1.9231361927887592E-2</v>
      </c>
      <c r="AB134">
        <f t="shared" si="22"/>
        <v>9.4498966996758152E-2</v>
      </c>
      <c r="AC134">
        <f t="shared" si="22"/>
        <v>5.4794657646255705E-3</v>
      </c>
      <c r="AD134">
        <f t="shared" si="22"/>
        <v>7.5090451355069823E-2</v>
      </c>
      <c r="AE134">
        <f t="shared" si="22"/>
        <v>-5.5186415567290897E-2</v>
      </c>
      <c r="AF134">
        <f t="shared" si="22"/>
        <v>7.782140442054949E-3</v>
      </c>
      <c r="AG134">
        <f t="shared" si="22"/>
        <v>6.6006840313520927E-3</v>
      </c>
      <c r="AH134">
        <f t="shared" si="22"/>
        <v>2.5975486403260736E-2</v>
      </c>
      <c r="AI134">
        <f t="shared" si="22"/>
        <v>1.3544225107757253E-2</v>
      </c>
      <c r="AJ134">
        <f t="shared" si="22"/>
        <v>1.6438726343159939E-2</v>
      </c>
      <c r="AK134">
        <f t="shared" si="22"/>
        <v>8.2691715845113409E-2</v>
      </c>
      <c r="AL134">
        <f t="shared" si="22"/>
        <v>0.16374517122101928</v>
      </c>
      <c r="AM134">
        <f t="shared" si="22"/>
        <v>0.14792013007662227</v>
      </c>
      <c r="AN134">
        <f t="shared" si="22"/>
        <v>1.6901810802603254E-2</v>
      </c>
      <c r="AO134">
        <f t="shared" si="22"/>
        <v>-2.7249642447375474E-2</v>
      </c>
      <c r="AP134">
        <f t="shared" si="22"/>
        <v>0.32181815039976963</v>
      </c>
      <c r="AQ134">
        <f t="shared" si="22"/>
        <v>0.14929630136246017</v>
      </c>
      <c r="AR134">
        <f t="shared" si="22"/>
        <v>1.6597891409037831E-2</v>
      </c>
      <c r="AS134">
        <f t="shared" si="22"/>
        <v>0.24686007793152581</v>
      </c>
      <c r="AT134">
        <f t="shared" si="22"/>
        <v>4.5539968733719419E-2</v>
      </c>
    </row>
    <row r="135" spans="1:46">
      <c r="A135" s="283">
        <v>26</v>
      </c>
      <c r="B135" s="3">
        <v>40449</v>
      </c>
      <c r="C135">
        <f t="shared" ref="C135:AT135" si="23">LN(C81/C80)</f>
        <v>2.714933794313203E-3</v>
      </c>
      <c r="D135">
        <f t="shared" si="23"/>
        <v>6.252035698133393E-2</v>
      </c>
      <c r="E135">
        <f t="shared" si="23"/>
        <v>7.4610863791174639E-2</v>
      </c>
      <c r="F135">
        <f t="shared" si="23"/>
        <v>0.15415067982725836</v>
      </c>
      <c r="G135">
        <f t="shared" si="23"/>
        <v>-5.3619431413852872E-3</v>
      </c>
      <c r="H135">
        <f t="shared" si="23"/>
        <v>0.1365755350057507</v>
      </c>
      <c r="I135">
        <f t="shared" si="23"/>
        <v>0.14660422951396929</v>
      </c>
      <c r="J135">
        <f t="shared" si="23"/>
        <v>0.26045525975156691</v>
      </c>
      <c r="K135">
        <f t="shared" si="23"/>
        <v>8.1345639453952401E-2</v>
      </c>
      <c r="L135">
        <f t="shared" si="23"/>
        <v>3.7179003241754029E-2</v>
      </c>
      <c r="M135">
        <f t="shared" si="23"/>
        <v>8.6129153729938748E-2</v>
      </c>
      <c r="N135">
        <f t="shared" si="23"/>
        <v>1.7391742711869239E-2</v>
      </c>
      <c r="O135">
        <f t="shared" si="23"/>
        <v>-4.7252884850545497E-2</v>
      </c>
      <c r="P135">
        <f t="shared" si="23"/>
        <v>6.6723632042908126E-2</v>
      </c>
      <c r="Q135">
        <f t="shared" si="23"/>
        <v>-1.7544309650909508E-2</v>
      </c>
      <c r="R135">
        <f t="shared" si="23"/>
        <v>-1.8945086242449304E-2</v>
      </c>
      <c r="S135">
        <f t="shared" si="23"/>
        <v>-3.4094211342976015E-2</v>
      </c>
      <c r="T135">
        <f t="shared" si="23"/>
        <v>-3.8839833316263894E-2</v>
      </c>
      <c r="U135">
        <f t="shared" si="23"/>
        <v>1.4742281737203431E-2</v>
      </c>
      <c r="V135">
        <f t="shared" si="23"/>
        <v>0.38566248081198473</v>
      </c>
      <c r="W135">
        <f t="shared" si="23"/>
        <v>7.7135728882227236E-2</v>
      </c>
      <c r="X135">
        <f t="shared" si="23"/>
        <v>-0.13119221027135042</v>
      </c>
      <c r="Y135">
        <f t="shared" si="23"/>
        <v>0.22149474632402583</v>
      </c>
      <c r="Z135">
        <f t="shared" si="23"/>
        <v>0.2132587920816679</v>
      </c>
      <c r="AA135">
        <f t="shared" si="23"/>
        <v>0.13353139262452257</v>
      </c>
      <c r="AB135">
        <f t="shared" si="23"/>
        <v>7.8862848425724746E-2</v>
      </c>
      <c r="AC135">
        <f t="shared" si="23"/>
        <v>-5.4794657646257076E-3</v>
      </c>
      <c r="AD135">
        <f t="shared" si="23"/>
        <v>2.521141934649607E-2</v>
      </c>
      <c r="AE135">
        <f t="shared" si="23"/>
        <v>5.5186415567290939E-2</v>
      </c>
      <c r="AF135">
        <f t="shared" si="23"/>
        <v>0.12379421734666433</v>
      </c>
      <c r="AG135">
        <f t="shared" si="23"/>
        <v>-6.6006840313520242E-3</v>
      </c>
      <c r="AH135">
        <f t="shared" si="23"/>
        <v>0.18658595558041211</v>
      </c>
      <c r="AI135">
        <f t="shared" si="23"/>
        <v>7.7625162030536252E-2</v>
      </c>
      <c r="AJ135">
        <f t="shared" si="23"/>
        <v>0.10807422152942252</v>
      </c>
      <c r="AK135">
        <f t="shared" si="23"/>
        <v>0.13353139262452257</v>
      </c>
      <c r="AL135">
        <f t="shared" si="23"/>
        <v>-2.1053409197832381E-2</v>
      </c>
      <c r="AM135">
        <f t="shared" si="23"/>
        <v>-4.4735893841391414E-2</v>
      </c>
      <c r="AN135">
        <f t="shared" si="23"/>
        <v>0.11591910221832073</v>
      </c>
      <c r="AO135">
        <f t="shared" si="23"/>
        <v>3.2611585588760796E-2</v>
      </c>
      <c r="AP135">
        <f t="shared" si="23"/>
        <v>-0.11240690095915092</v>
      </c>
      <c r="AQ135">
        <f t="shared" si="23"/>
        <v>0.14261410719884182</v>
      </c>
      <c r="AR135">
        <f t="shared" si="23"/>
        <v>-8.2645098498934245E-3</v>
      </c>
      <c r="AS135">
        <f t="shared" si="23"/>
        <v>-3.1748698314580298E-2</v>
      </c>
      <c r="AT135">
        <f t="shared" si="23"/>
        <v>7.7711277095992751E-2</v>
      </c>
    </row>
    <row r="136" spans="1:46">
      <c r="A136" s="283">
        <v>27</v>
      </c>
      <c r="B136" s="3">
        <v>40479</v>
      </c>
      <c r="C136">
        <f t="shared" ref="C136:AT136" si="24">LN(C82/C81)</f>
        <v>-3.8109717342984357E-2</v>
      </c>
      <c r="D136">
        <f t="shared" si="24"/>
        <v>-4.9699668552272529E-2</v>
      </c>
      <c r="E136">
        <f t="shared" si="24"/>
        <v>-1.3158084577511088E-2</v>
      </c>
      <c r="F136">
        <f t="shared" si="24"/>
        <v>1.2903404835907782E-2</v>
      </c>
      <c r="G136">
        <f t="shared" si="24"/>
        <v>5.3619431413853731E-3</v>
      </c>
      <c r="H136">
        <f t="shared" si="24"/>
        <v>1.6878037787351731E-2</v>
      </c>
      <c r="I136">
        <f t="shared" si="24"/>
        <v>0.10762685674661239</v>
      </c>
      <c r="J136">
        <f t="shared" si="24"/>
        <v>-0.17344388276193717</v>
      </c>
      <c r="K136">
        <f t="shared" si="24"/>
        <v>-1.5748356968139168E-2</v>
      </c>
      <c r="L136">
        <f t="shared" si="24"/>
        <v>-7.3260400920728977E-3</v>
      </c>
      <c r="M136">
        <f t="shared" si="24"/>
        <v>-9.6767551934994409E-2</v>
      </c>
      <c r="N136">
        <f t="shared" si="24"/>
        <v>-2.6202372394024072E-2</v>
      </c>
      <c r="O136">
        <f t="shared" si="24"/>
        <v>-6.2390292599281555E-2</v>
      </c>
      <c r="P136">
        <f t="shared" si="24"/>
        <v>3.4478248466059222E-2</v>
      </c>
      <c r="Q136">
        <f t="shared" si="24"/>
        <v>7.6633226020915893E-2</v>
      </c>
      <c r="R136">
        <f t="shared" si="24"/>
        <v>5.5791359628415513E-2</v>
      </c>
      <c r="S136">
        <f t="shared" si="24"/>
        <v>0.1299121342402095</v>
      </c>
      <c r="T136">
        <f t="shared" si="24"/>
        <v>0</v>
      </c>
      <c r="U136">
        <f t="shared" si="24"/>
        <v>4.2966035883443554E-2</v>
      </c>
      <c r="V136">
        <f t="shared" si="24"/>
        <v>-3.6663984371591359E-2</v>
      </c>
      <c r="W136">
        <f t="shared" si="24"/>
        <v>2.5863510589919373E-2</v>
      </c>
      <c r="X136">
        <f t="shared" si="24"/>
        <v>0.11466290832013994</v>
      </c>
      <c r="Y136">
        <f t="shared" si="24"/>
        <v>6.0197429048913606E-2</v>
      </c>
      <c r="Z136">
        <f t="shared" si="24"/>
        <v>-6.1452779213663565E-2</v>
      </c>
      <c r="AA136">
        <f t="shared" si="24"/>
        <v>-6.0103924069705439E-2</v>
      </c>
      <c r="AB136">
        <f t="shared" si="24"/>
        <v>-7.8862848425724622E-2</v>
      </c>
      <c r="AC136">
        <f t="shared" si="24"/>
        <v>4.8266740969834569E-2</v>
      </c>
      <c r="AD136">
        <f t="shared" si="24"/>
        <v>-7.3150881635615228E-2</v>
      </c>
      <c r="AE136">
        <f t="shared" si="24"/>
        <v>0.13771725055720072</v>
      </c>
      <c r="AF136">
        <f t="shared" si="24"/>
        <v>3.3673215106587807E-2</v>
      </c>
      <c r="AG136">
        <f t="shared" si="24"/>
        <v>-2.0067563050809256E-2</v>
      </c>
      <c r="AH136">
        <f t="shared" si="24"/>
        <v>-2.461662763535603E-2</v>
      </c>
      <c r="AI136">
        <f t="shared" si="24"/>
        <v>-3.8059561824345015E-2</v>
      </c>
      <c r="AJ136">
        <f t="shared" si="24"/>
        <v>9.7088141269609032E-3</v>
      </c>
      <c r="AK136">
        <f t="shared" si="24"/>
        <v>-5.7158413839948637E-2</v>
      </c>
      <c r="AL136">
        <f t="shared" si="24"/>
        <v>-3.2435275753153844E-2</v>
      </c>
      <c r="AM136">
        <f t="shared" si="24"/>
        <v>0.20067069546215124</v>
      </c>
      <c r="AN136">
        <f t="shared" si="24"/>
        <v>4.8553225416990739E-2</v>
      </c>
      <c r="AO136">
        <f t="shared" si="24"/>
        <v>0</v>
      </c>
      <c r="AP136">
        <f t="shared" si="24"/>
        <v>-8.7613571904844346E-3</v>
      </c>
      <c r="AQ136">
        <f t="shared" si="24"/>
        <v>-1.9169916107720172E-2</v>
      </c>
      <c r="AR136">
        <f t="shared" si="24"/>
        <v>-2.0965128465044964E-2</v>
      </c>
      <c r="AS136">
        <f t="shared" si="24"/>
        <v>-8.4083117210541319E-2</v>
      </c>
      <c r="AT136">
        <f t="shared" si="24"/>
        <v>2.9271982825900478E-2</v>
      </c>
    </row>
    <row r="137" spans="1:46">
      <c r="A137" s="283">
        <v>28</v>
      </c>
      <c r="B137" s="3">
        <v>40510</v>
      </c>
      <c r="C137">
        <f t="shared" ref="C137:AT137" si="25">LN(C83/C82)</f>
        <v>4.9119827440945146E-2</v>
      </c>
      <c r="D137">
        <f t="shared" si="25"/>
        <v>-2.580788395587259E-2</v>
      </c>
      <c r="E137">
        <f t="shared" si="25"/>
        <v>-2.6847250036188052E-2</v>
      </c>
      <c r="F137">
        <f t="shared" si="25"/>
        <v>-4.5909701304077857E-2</v>
      </c>
      <c r="G137">
        <f t="shared" si="25"/>
        <v>-1.0752791776261737E-2</v>
      </c>
      <c r="H137">
        <f t="shared" si="25"/>
        <v>-3.404584140971699E-2</v>
      </c>
      <c r="I137">
        <f t="shared" si="25"/>
        <v>-2.5846966147664133E-2</v>
      </c>
      <c r="J137">
        <f t="shared" si="25"/>
        <v>-7.6045993852193036E-3</v>
      </c>
      <c r="K137">
        <f t="shared" si="25"/>
        <v>0.1369976006010088</v>
      </c>
      <c r="L137">
        <f t="shared" si="25"/>
        <v>-3.7457562534900443E-2</v>
      </c>
      <c r="M137">
        <f t="shared" si="25"/>
        <v>-0.19415601444095751</v>
      </c>
      <c r="N137">
        <f t="shared" si="25"/>
        <v>0</v>
      </c>
      <c r="O137">
        <f t="shared" si="25"/>
        <v>5.4293082366662256E-2</v>
      </c>
      <c r="P137">
        <f t="shared" si="25"/>
        <v>-8.2380126268379525E-2</v>
      </c>
      <c r="Q137">
        <f t="shared" si="25"/>
        <v>5.5791359628415513E-2</v>
      </c>
      <c r="R137">
        <f t="shared" si="25"/>
        <v>-2.6179505581771054E-2</v>
      </c>
      <c r="S137">
        <f t="shared" si="25"/>
        <v>-1.0204170174241736E-2</v>
      </c>
      <c r="T137">
        <f t="shared" si="25"/>
        <v>9.8522964430116395E-3</v>
      </c>
      <c r="U137">
        <f t="shared" si="25"/>
        <v>5.8974002459551041E-2</v>
      </c>
      <c r="V137">
        <f t="shared" si="25"/>
        <v>-5.5451304536214142E-2</v>
      </c>
      <c r="W137">
        <f t="shared" si="25"/>
        <v>-1.2848142477849024E-2</v>
      </c>
      <c r="X137">
        <f t="shared" si="25"/>
        <v>9.5310179804324741E-2</v>
      </c>
      <c r="Y137">
        <f t="shared" si="25"/>
        <v>-4.8386268120569127E-2</v>
      </c>
      <c r="Z137">
        <f t="shared" si="25"/>
        <v>-9.6014653239588479E-2</v>
      </c>
      <c r="AA137">
        <f t="shared" si="25"/>
        <v>-8.8889474172460393E-3</v>
      </c>
      <c r="AB137">
        <f t="shared" si="25"/>
        <v>-4.9917941440200099E-2</v>
      </c>
      <c r="AC137">
        <f t="shared" si="25"/>
        <v>-4.2787275205208981E-2</v>
      </c>
      <c r="AD137">
        <f t="shared" si="25"/>
        <v>-0.11332868530700312</v>
      </c>
      <c r="AE137">
        <f t="shared" si="25"/>
        <v>-1.7699577099400975E-2</v>
      </c>
      <c r="AF137">
        <f t="shared" si="25"/>
        <v>3.3057881344994103E-3</v>
      </c>
      <c r="AG137">
        <f t="shared" si="25"/>
        <v>-6.2738340633423359E-2</v>
      </c>
      <c r="AH137">
        <f t="shared" si="25"/>
        <v>3.1104224143923302E-3</v>
      </c>
      <c r="AI137">
        <f t="shared" si="25"/>
        <v>-2.6202372394024072E-2</v>
      </c>
      <c r="AJ137">
        <f t="shared" si="25"/>
        <v>4.8192864359489218E-3</v>
      </c>
      <c r="AK137">
        <f t="shared" si="25"/>
        <v>8.1173290043822441E-2</v>
      </c>
      <c r="AL137">
        <f t="shared" si="25"/>
        <v>-0.12260232209233239</v>
      </c>
      <c r="AM137">
        <f t="shared" si="25"/>
        <v>3.1581572050298837E-2</v>
      </c>
      <c r="AN137">
        <f t="shared" si="25"/>
        <v>0.20882349753946128</v>
      </c>
      <c r="AO137">
        <f t="shared" si="25"/>
        <v>0.20697069206860877</v>
      </c>
      <c r="AP137">
        <f t="shared" si="25"/>
        <v>-3.1187163437868863E-2</v>
      </c>
      <c r="AQ137">
        <f t="shared" si="25"/>
        <v>-4.6212843155131564E-2</v>
      </c>
      <c r="AR137">
        <f t="shared" si="25"/>
        <v>-0.13595563623602899</v>
      </c>
      <c r="AS137">
        <f t="shared" si="25"/>
        <v>-6.3369613932589372E-2</v>
      </c>
      <c r="AT137">
        <f t="shared" si="25"/>
        <v>1.1441053516027451E-2</v>
      </c>
    </row>
    <row r="138" spans="1:46">
      <c r="A138" s="283">
        <v>29</v>
      </c>
      <c r="B138" s="3">
        <v>40540</v>
      </c>
      <c r="C138">
        <f t="shared" ref="C138:AT138" si="26">LN(C84/C83)</f>
        <v>-6.0450056048338544E-2</v>
      </c>
      <c r="D138">
        <f t="shared" si="26"/>
        <v>1.9418085857101516E-2</v>
      </c>
      <c r="E138">
        <f t="shared" si="26"/>
        <v>-1.3698844358161915E-2</v>
      </c>
      <c r="F138">
        <f t="shared" si="26"/>
        <v>0.21098945166352648</v>
      </c>
      <c r="G138">
        <f t="shared" si="26"/>
        <v>4.2334363826560736E-2</v>
      </c>
      <c r="H138">
        <f t="shared" si="26"/>
        <v>8.8993538193620991E-2</v>
      </c>
      <c r="I138">
        <f t="shared" si="26"/>
        <v>2.0730742018785192E-2</v>
      </c>
      <c r="J138">
        <f t="shared" si="26"/>
        <v>-7.6628727455691371E-3</v>
      </c>
      <c r="K138">
        <f t="shared" si="26"/>
        <v>0.16838404895017292</v>
      </c>
      <c r="L138">
        <f t="shared" si="26"/>
        <v>-2.3167059281534418E-2</v>
      </c>
      <c r="M138">
        <f t="shared" si="26"/>
        <v>0.11633899208414977</v>
      </c>
      <c r="N138">
        <f t="shared" si="26"/>
        <v>-8.8889474172460393E-3</v>
      </c>
      <c r="O138">
        <f t="shared" si="26"/>
        <v>4.0568006956142478E-3</v>
      </c>
      <c r="P138">
        <f t="shared" si="26"/>
        <v>-1.2342788142878676E-2</v>
      </c>
      <c r="Q138">
        <f t="shared" si="26"/>
        <v>6.7441280795532479E-2</v>
      </c>
      <c r="R138">
        <f t="shared" si="26"/>
        <v>8.3911972250342651E-2</v>
      </c>
      <c r="S138">
        <f t="shared" si="26"/>
        <v>-5.2643733485422027E-2</v>
      </c>
      <c r="T138">
        <f t="shared" si="26"/>
        <v>2.8987536873252187E-2</v>
      </c>
      <c r="U138">
        <f t="shared" si="26"/>
        <v>0.32762262134423031</v>
      </c>
      <c r="V138">
        <f t="shared" si="26"/>
        <v>0</v>
      </c>
      <c r="W138">
        <f t="shared" si="26"/>
        <v>7.0715524798397669E-2</v>
      </c>
      <c r="X138">
        <f t="shared" si="26"/>
        <v>0</v>
      </c>
      <c r="Y138">
        <f t="shared" si="26"/>
        <v>7.7178456073390828E-2</v>
      </c>
      <c r="Z138">
        <f t="shared" si="26"/>
        <v>1.5384918839479456E-2</v>
      </c>
      <c r="AA138">
        <f t="shared" si="26"/>
        <v>2.6433257068155431E-2</v>
      </c>
      <c r="AB138">
        <f t="shared" si="26"/>
        <v>3.3553939922903862E-2</v>
      </c>
      <c r="AC138">
        <f t="shared" si="26"/>
        <v>5.4496047675644645E-3</v>
      </c>
      <c r="AD138">
        <f t="shared" si="26"/>
        <v>-8.3381608939051138E-2</v>
      </c>
      <c r="AE138">
        <f t="shared" si="26"/>
        <v>5.9347355198145265E-3</v>
      </c>
      <c r="AF138">
        <f t="shared" si="26"/>
        <v>5.4588190284402996E-2</v>
      </c>
      <c r="AG138">
        <f t="shared" si="26"/>
        <v>9.5963988261743738E-2</v>
      </c>
      <c r="AH138">
        <f t="shared" si="26"/>
        <v>4.2559614418795903E-2</v>
      </c>
      <c r="AI138">
        <f t="shared" si="26"/>
        <v>3.0503454293414625E-2</v>
      </c>
      <c r="AJ138">
        <f t="shared" si="26"/>
        <v>0</v>
      </c>
      <c r="AK138">
        <f t="shared" si="26"/>
        <v>5.2817555839414339E-2</v>
      </c>
      <c r="AL138">
        <f t="shared" si="26"/>
        <v>1.8462062839735571E-2</v>
      </c>
      <c r="AM138">
        <f t="shared" si="26"/>
        <v>-1.0416760858255715E-2</v>
      </c>
      <c r="AN138">
        <f t="shared" si="26"/>
        <v>0.17265964588221772</v>
      </c>
      <c r="AO138">
        <f t="shared" si="26"/>
        <v>0.1967102942460543</v>
      </c>
      <c r="AP138">
        <f t="shared" si="26"/>
        <v>-2.7812211749238754E-2</v>
      </c>
      <c r="AQ138">
        <f t="shared" si="26"/>
        <v>-3.4367643504207769E-2</v>
      </c>
      <c r="AR138">
        <f t="shared" si="26"/>
        <v>1.4458083175229699E-2</v>
      </c>
      <c r="AS138">
        <f t="shared" si="26"/>
        <v>9.7855790003758492E-2</v>
      </c>
      <c r="AT138">
        <f t="shared" si="26"/>
        <v>4.1450592494466421E-2</v>
      </c>
    </row>
    <row r="139" spans="1:46">
      <c r="A139" s="283">
        <v>30</v>
      </c>
      <c r="B139" s="3">
        <v>40571</v>
      </c>
      <c r="C139">
        <f t="shared" ref="C139:AT139" si="27">LN(C85/C84)</f>
        <v>-4.8641807222345831E-2</v>
      </c>
      <c r="D139">
        <f t="shared" si="27"/>
        <v>-0.14458122881110755</v>
      </c>
      <c r="E139">
        <f t="shared" si="27"/>
        <v>5.6966824606677451E-2</v>
      </c>
      <c r="F139">
        <f t="shared" si="27"/>
        <v>6.8267971129002875E-2</v>
      </c>
      <c r="G139">
        <f t="shared" si="27"/>
        <v>-1.5666116744399463E-2</v>
      </c>
      <c r="H139">
        <f t="shared" si="27"/>
        <v>9.8522964430116395E-3</v>
      </c>
      <c r="I139">
        <f t="shared" si="27"/>
        <v>-2.8203814793220976E-2</v>
      </c>
      <c r="J139">
        <f t="shared" si="27"/>
        <v>-1.5504186535965199E-2</v>
      </c>
      <c r="K139">
        <f t="shared" si="27"/>
        <v>-5.0985554732867637E-2</v>
      </c>
      <c r="L139">
        <f t="shared" si="27"/>
        <v>2.3167059281534379E-2</v>
      </c>
      <c r="M139">
        <f t="shared" si="27"/>
        <v>-2.3392879574705462E-2</v>
      </c>
      <c r="N139">
        <f t="shared" si="27"/>
        <v>-5.5059777183027431E-2</v>
      </c>
      <c r="O139">
        <f t="shared" si="27"/>
        <v>-0.10221656516785835</v>
      </c>
      <c r="P139">
        <f t="shared" si="27"/>
        <v>-4.470017891790682E-2</v>
      </c>
      <c r="Q139">
        <f t="shared" si="27"/>
        <v>-0.15656906069153992</v>
      </c>
      <c r="R139">
        <f t="shared" si="27"/>
        <v>5.6887374402051424E-2</v>
      </c>
      <c r="S139">
        <f t="shared" si="27"/>
        <v>-0.11441035117774422</v>
      </c>
      <c r="T139">
        <f t="shared" si="27"/>
        <v>-1.9231361927887644E-2</v>
      </c>
      <c r="U139">
        <f t="shared" si="27"/>
        <v>-0.17284281283941083</v>
      </c>
      <c r="V139">
        <f t="shared" si="27"/>
        <v>-0.17707220090781109</v>
      </c>
      <c r="W139">
        <f t="shared" si="27"/>
        <v>-4.9392755329576474E-2</v>
      </c>
      <c r="X139">
        <f t="shared" si="27"/>
        <v>5.8840500022933395E-2</v>
      </c>
      <c r="Y139">
        <f t="shared" si="27"/>
        <v>-4.6347497735732844E-2</v>
      </c>
      <c r="Z139">
        <f t="shared" si="27"/>
        <v>-0.13899887480665607</v>
      </c>
      <c r="AA139">
        <f t="shared" si="27"/>
        <v>4.2559614418795903E-2</v>
      </c>
      <c r="AB139">
        <f t="shared" si="27"/>
        <v>-0.10525867747860497</v>
      </c>
      <c r="AC139">
        <f t="shared" si="27"/>
        <v>-5.4496047675645911E-3</v>
      </c>
      <c r="AD139">
        <f t="shared" si="27"/>
        <v>-8.5037042685912181E-2</v>
      </c>
      <c r="AE139">
        <f t="shared" si="27"/>
        <v>-6.4144121605738152E-2</v>
      </c>
      <c r="AF139">
        <f t="shared" si="27"/>
        <v>6.6489741268833003E-2</v>
      </c>
      <c r="AG139">
        <f t="shared" si="27"/>
        <v>5.0966443592027566E-2</v>
      </c>
      <c r="AH139">
        <f t="shared" si="27"/>
        <v>-6.136894637629213E-2</v>
      </c>
      <c r="AI139">
        <f t="shared" si="27"/>
        <v>-5.287575204794779E-2</v>
      </c>
      <c r="AJ139">
        <f t="shared" si="27"/>
        <v>-8.004270767353637E-2</v>
      </c>
      <c r="AK139">
        <f t="shared" si="27"/>
        <v>-5.621314484055253E-2</v>
      </c>
      <c r="AL139">
        <f t="shared" si="27"/>
        <v>-0.10943384104546222</v>
      </c>
      <c r="AM139">
        <f t="shared" si="27"/>
        <v>-0.17709961281280295</v>
      </c>
      <c r="AN139">
        <f t="shared" si="27"/>
        <v>-0.10212949507637979</v>
      </c>
      <c r="AO139">
        <f t="shared" si="27"/>
        <v>-9.3526058010823476E-2</v>
      </c>
      <c r="AP139">
        <f t="shared" si="27"/>
        <v>-0.13480898524631016</v>
      </c>
      <c r="AQ139">
        <f t="shared" si="27"/>
        <v>-0.11865754380131599</v>
      </c>
      <c r="AR139">
        <f t="shared" si="27"/>
        <v>-0.10058723690516869</v>
      </c>
      <c r="AS139">
        <f t="shared" si="27"/>
        <v>-0.13595563623602885</v>
      </c>
      <c r="AT139">
        <f t="shared" si="27"/>
        <v>-5.1452501025262748E-2</v>
      </c>
    </row>
    <row r="140" spans="1:46">
      <c r="A140" s="283">
        <v>31</v>
      </c>
      <c r="B140" s="3">
        <v>40602</v>
      </c>
      <c r="C140">
        <f t="shared" ref="C140:AT140" si="28">LN(C86/C85)</f>
        <v>-9.3897403498390316E-3</v>
      </c>
      <c r="D140">
        <f t="shared" si="28"/>
        <v>-2.2472855852058628E-2</v>
      </c>
      <c r="E140">
        <f t="shared" si="28"/>
        <v>4.1473248206575095E-2</v>
      </c>
      <c r="F140">
        <f t="shared" si="28"/>
        <v>0</v>
      </c>
      <c r="G140">
        <f t="shared" si="28"/>
        <v>-1.0582109330536859E-2</v>
      </c>
      <c r="H140">
        <f t="shared" si="28"/>
        <v>-3.1875208530448951E-2</v>
      </c>
      <c r="I140">
        <f t="shared" si="28"/>
        <v>-3.7839233387082873E-2</v>
      </c>
      <c r="J140">
        <f t="shared" si="28"/>
        <v>4.5809536031294201E-2</v>
      </c>
      <c r="K140">
        <f t="shared" si="28"/>
        <v>-5.3725399356162988E-2</v>
      </c>
      <c r="L140">
        <f t="shared" si="28"/>
        <v>1.5151805020602246E-2</v>
      </c>
      <c r="M140">
        <f t="shared" si="28"/>
        <v>-3.0032287098874975E-2</v>
      </c>
      <c r="N140">
        <f t="shared" si="28"/>
        <v>-9.47874395454377E-3</v>
      </c>
      <c r="O140">
        <f t="shared" si="28"/>
        <v>6.5098902211355905E-2</v>
      </c>
      <c r="P140">
        <f t="shared" si="28"/>
        <v>1.2903404835907782E-2</v>
      </c>
      <c r="Q140">
        <f t="shared" si="28"/>
        <v>-7.0204258673248573E-2</v>
      </c>
      <c r="R140">
        <f t="shared" si="28"/>
        <v>-8.6592528815967129E-2</v>
      </c>
      <c r="S140">
        <f t="shared" si="28"/>
        <v>-1.2195273093818243E-2</v>
      </c>
      <c r="T140">
        <f t="shared" si="28"/>
        <v>-9.7561749453646852E-3</v>
      </c>
      <c r="U140">
        <f t="shared" si="28"/>
        <v>4.6091107200267087E-2</v>
      </c>
      <c r="V140">
        <f t="shared" si="28"/>
        <v>-3.7337670437644119E-2</v>
      </c>
      <c r="W140">
        <f t="shared" si="28"/>
        <v>-8.4746269909722321E-3</v>
      </c>
      <c r="X140">
        <f t="shared" si="28"/>
        <v>-9.7455336150713029E-2</v>
      </c>
      <c r="Y140">
        <f t="shared" si="28"/>
        <v>-2.4328984846311189E-2</v>
      </c>
      <c r="Z140">
        <f t="shared" si="28"/>
        <v>-1.7699577099400975E-2</v>
      </c>
      <c r="AA140">
        <f t="shared" si="28"/>
        <v>-1.6807118316381289E-2</v>
      </c>
      <c r="AB140">
        <f t="shared" si="28"/>
        <v>-2.7879967873735576E-2</v>
      </c>
      <c r="AC140">
        <f t="shared" si="28"/>
        <v>-3.3336420267591836E-2</v>
      </c>
      <c r="AD140">
        <f t="shared" si="28"/>
        <v>3.4887259000440755E-2</v>
      </c>
      <c r="AE140">
        <f t="shared" si="28"/>
        <v>0.13825209375946002</v>
      </c>
      <c r="AF140">
        <f t="shared" si="28"/>
        <v>-1.4727806710243398E-2</v>
      </c>
      <c r="AG140">
        <f t="shared" si="28"/>
        <v>-5.0966443592027517E-2</v>
      </c>
      <c r="AH140">
        <f t="shared" si="28"/>
        <v>-1.5949301407677953E-2</v>
      </c>
      <c r="AI140">
        <f t="shared" si="28"/>
        <v>-5.582844955294184E-2</v>
      </c>
      <c r="AJ140">
        <f t="shared" si="28"/>
        <v>6.062462181643484E-2</v>
      </c>
      <c r="AK140">
        <f t="shared" si="28"/>
        <v>-5.2367985517315925E-2</v>
      </c>
      <c r="AL140">
        <f t="shared" si="28"/>
        <v>-8.5157808340306715E-2</v>
      </c>
      <c r="AM140">
        <f t="shared" si="28"/>
        <v>-3.8221212820197741E-2</v>
      </c>
      <c r="AN140">
        <f t="shared" si="28"/>
        <v>5.576357451845429E-2</v>
      </c>
      <c r="AO140">
        <f t="shared" si="28"/>
        <v>-2.3810648693718559E-2</v>
      </c>
      <c r="AP140">
        <f t="shared" si="28"/>
        <v>-0.11296511504304572</v>
      </c>
      <c r="AQ140">
        <f t="shared" si="28"/>
        <v>-6.5063593347061882E-2</v>
      </c>
      <c r="AR140">
        <f t="shared" si="28"/>
        <v>-3.7740327982846968E-2</v>
      </c>
      <c r="AS140">
        <f t="shared" si="28"/>
        <v>0.10146946016485985</v>
      </c>
      <c r="AT140">
        <f t="shared" si="28"/>
        <v>1.3757740641823358E-2</v>
      </c>
    </row>
    <row r="141" spans="1:46">
      <c r="A141" s="283">
        <v>32</v>
      </c>
      <c r="B141" s="3">
        <v>40630</v>
      </c>
      <c r="C141">
        <f t="shared" ref="C141:AT141" si="29">LN(C87/C86)</f>
        <v>0.1128793480718536</v>
      </c>
      <c r="D141">
        <f t="shared" si="29"/>
        <v>7.3025135014889817E-2</v>
      </c>
      <c r="E141">
        <f t="shared" si="29"/>
        <v>3.0771658666753687E-2</v>
      </c>
      <c r="F141">
        <f t="shared" si="29"/>
        <v>3.4916265106227883E-2</v>
      </c>
      <c r="G141">
        <f t="shared" si="29"/>
        <v>0</v>
      </c>
      <c r="H141">
        <f t="shared" si="29"/>
        <v>-2.8749413285985823E-2</v>
      </c>
      <c r="I141">
        <f t="shared" si="29"/>
        <v>4.0487078405306624E-2</v>
      </c>
      <c r="J141">
        <f t="shared" si="29"/>
        <v>7.4349784875179905E-3</v>
      </c>
      <c r="K141">
        <f t="shared" si="29"/>
        <v>-1.6366977464205359E-2</v>
      </c>
      <c r="L141">
        <f t="shared" si="29"/>
        <v>0.11359717772370537</v>
      </c>
      <c r="M141">
        <f t="shared" si="29"/>
        <v>-6.9428506431763029E-2</v>
      </c>
      <c r="N141">
        <f t="shared" si="29"/>
        <v>2.8170876966696224E-2</v>
      </c>
      <c r="O141">
        <f t="shared" si="29"/>
        <v>5.9140575043939825E-2</v>
      </c>
      <c r="P141">
        <f t="shared" si="29"/>
        <v>-6.1728591070809675E-3</v>
      </c>
      <c r="Q141">
        <f t="shared" si="29"/>
        <v>9.0498355199178562E-3</v>
      </c>
      <c r="R141">
        <f t="shared" si="29"/>
        <v>-6.755815101129109E-2</v>
      </c>
      <c r="S141">
        <f t="shared" si="29"/>
        <v>1.2195273093818206E-2</v>
      </c>
      <c r="T141">
        <f t="shared" si="29"/>
        <v>-6.8992871486951435E-2</v>
      </c>
      <c r="U141">
        <f t="shared" si="29"/>
        <v>6.1154423153330646E-2</v>
      </c>
      <c r="V141">
        <f t="shared" si="29"/>
        <v>3.2088314551500449E-2</v>
      </c>
      <c r="W141">
        <f t="shared" si="29"/>
        <v>7.3803974583361381E-2</v>
      </c>
      <c r="X141">
        <f t="shared" si="29"/>
        <v>9.7455336150713057E-2</v>
      </c>
      <c r="Y141">
        <f t="shared" si="29"/>
        <v>0.12588721455439897</v>
      </c>
      <c r="Z141">
        <f t="shared" si="29"/>
        <v>8.552217343816193E-2</v>
      </c>
      <c r="AA141">
        <f t="shared" si="29"/>
        <v>-8.5106896679086191E-3</v>
      </c>
      <c r="AB141">
        <f t="shared" si="29"/>
        <v>9.9584705429436524E-2</v>
      </c>
      <c r="AC141">
        <f t="shared" si="29"/>
        <v>2.2347298691996618E-2</v>
      </c>
      <c r="AD141">
        <f t="shared" si="29"/>
        <v>4.4700178917906987E-2</v>
      </c>
      <c r="AE141">
        <f t="shared" si="29"/>
        <v>-2.7510333718898708E-3</v>
      </c>
      <c r="AF141">
        <f t="shared" si="29"/>
        <v>2.6355844705362456E-2</v>
      </c>
      <c r="AG141">
        <f t="shared" si="29"/>
        <v>-1.3158084577511088E-2</v>
      </c>
      <c r="AH141">
        <f t="shared" si="29"/>
        <v>0.11240956759524014</v>
      </c>
      <c r="AI141">
        <f t="shared" si="29"/>
        <v>-9.6154586994419804E-3</v>
      </c>
      <c r="AJ141">
        <f t="shared" si="29"/>
        <v>2.421425812059453E-2</v>
      </c>
      <c r="AK141">
        <f t="shared" si="29"/>
        <v>1.069528911674795E-2</v>
      </c>
      <c r="AL141">
        <f t="shared" si="29"/>
        <v>0.13167782397519959</v>
      </c>
      <c r="AM141">
        <f t="shared" si="29"/>
        <v>-3.3006296468169972E-2</v>
      </c>
      <c r="AN141">
        <f t="shared" si="29"/>
        <v>0.12416563663688052</v>
      </c>
      <c r="AO141">
        <f t="shared" si="29"/>
        <v>0.16952245987511227</v>
      </c>
      <c r="AP141">
        <f t="shared" si="29"/>
        <v>0.12897267137067378</v>
      </c>
      <c r="AQ141">
        <f t="shared" si="29"/>
        <v>8.8410957344052937E-2</v>
      </c>
      <c r="AR141">
        <f t="shared" si="29"/>
        <v>4.3017385083690858E-2</v>
      </c>
      <c r="AS141">
        <f t="shared" si="29"/>
        <v>3.4486176071169189E-2</v>
      </c>
      <c r="AT141">
        <f t="shared" si="29"/>
        <v>4.7528745109370343E-2</v>
      </c>
    </row>
    <row r="142" spans="1:46">
      <c r="A142" s="283">
        <v>33</v>
      </c>
      <c r="B142" s="3">
        <v>40661</v>
      </c>
      <c r="C142">
        <f t="shared" ref="C142:AT142" si="30">LN(C88/C87)</f>
        <v>3.0431117202539833E-2</v>
      </c>
      <c r="D142">
        <f t="shared" si="30"/>
        <v>5.4808236494994951E-2</v>
      </c>
      <c r="E142">
        <f t="shared" si="30"/>
        <v>3.8637792705413919E-2</v>
      </c>
      <c r="F142">
        <f t="shared" si="30"/>
        <v>9.7561749453646558E-3</v>
      </c>
      <c r="G142">
        <f t="shared" si="30"/>
        <v>-4.9056156989194313E-2</v>
      </c>
      <c r="H142">
        <f t="shared" si="30"/>
        <v>0.13613217432457991</v>
      </c>
      <c r="I142">
        <f t="shared" si="30"/>
        <v>-7.9646615827767241E-3</v>
      </c>
      <c r="J142">
        <f t="shared" si="30"/>
        <v>4.3485111939738891E-2</v>
      </c>
      <c r="K142">
        <f t="shared" si="30"/>
        <v>0.13270596954835515</v>
      </c>
      <c r="L142">
        <f t="shared" si="30"/>
        <v>4.5909701304077948E-2</v>
      </c>
      <c r="M142">
        <f t="shared" si="30"/>
        <v>8.7555891024319543E-2</v>
      </c>
      <c r="N142">
        <f t="shared" si="30"/>
        <v>7.1458963982145046E-2</v>
      </c>
      <c r="O142">
        <f t="shared" si="30"/>
        <v>0.17237122594078649</v>
      </c>
      <c r="P142">
        <f t="shared" si="30"/>
        <v>0.10983963350234724</v>
      </c>
      <c r="Q142">
        <f t="shared" si="30"/>
        <v>-5.5569851154810765E-2</v>
      </c>
      <c r="R142">
        <f t="shared" si="30"/>
        <v>1.600034134644112E-2</v>
      </c>
      <c r="S142">
        <f t="shared" si="30"/>
        <v>9.8061213176214732E-2</v>
      </c>
      <c r="T142">
        <f t="shared" si="30"/>
        <v>4.1158072493507551E-2</v>
      </c>
      <c r="U142">
        <f t="shared" si="30"/>
        <v>4.9596941139371978E-2</v>
      </c>
      <c r="V142">
        <f t="shared" si="30"/>
        <v>0.14660347419187544</v>
      </c>
      <c r="W142">
        <f t="shared" si="30"/>
        <v>-1.1928570865273845E-2</v>
      </c>
      <c r="X142">
        <f t="shared" si="30"/>
        <v>-4.3802622658392888E-2</v>
      </c>
      <c r="Y142">
        <f t="shared" si="30"/>
        <v>4.7428693571111041E-2</v>
      </c>
      <c r="Z142">
        <f t="shared" si="30"/>
        <v>0.10125373370517289</v>
      </c>
      <c r="AA142">
        <f t="shared" si="30"/>
        <v>4.1847109935500504E-2</v>
      </c>
      <c r="AB142">
        <f t="shared" si="30"/>
        <v>8.1863870078172946E-2</v>
      </c>
      <c r="AC142">
        <f t="shared" si="30"/>
        <v>2.1858793812499017E-2</v>
      </c>
      <c r="AD142">
        <f t="shared" si="30"/>
        <v>0.11352382629698717</v>
      </c>
      <c r="AE142">
        <f t="shared" si="30"/>
        <v>3.7842353183159934E-2</v>
      </c>
      <c r="AF142">
        <f t="shared" si="30"/>
        <v>7.5139644586091223E-2</v>
      </c>
      <c r="AG142">
        <f t="shared" si="30"/>
        <v>5.1624365405307245E-2</v>
      </c>
      <c r="AH142">
        <f t="shared" si="30"/>
        <v>6.9375939869341249E-2</v>
      </c>
      <c r="AI142">
        <f t="shared" si="30"/>
        <v>3.7919234862293677E-2</v>
      </c>
      <c r="AJ142">
        <f t="shared" si="30"/>
        <v>0.10870420160088951</v>
      </c>
      <c r="AK142">
        <f t="shared" si="30"/>
        <v>0.15110653744603006</v>
      </c>
      <c r="AL142">
        <f t="shared" si="30"/>
        <v>-2.6317308317373417E-2</v>
      </c>
      <c r="AM142">
        <f t="shared" si="30"/>
        <v>5.8648727081507687E-2</v>
      </c>
      <c r="AN142">
        <f t="shared" si="30"/>
        <v>5.9701669865037544E-3</v>
      </c>
      <c r="AO142">
        <f t="shared" si="30"/>
        <v>-4.3296805753324188E-2</v>
      </c>
      <c r="AP142">
        <f t="shared" si="30"/>
        <v>-2.6746834681683117E-2</v>
      </c>
      <c r="AQ142">
        <f t="shared" si="30"/>
        <v>-7.1743904858841301E-2</v>
      </c>
      <c r="AR142">
        <f t="shared" si="30"/>
        <v>0.15113862935726671</v>
      </c>
      <c r="AS142">
        <f t="shared" si="30"/>
        <v>-1.7094433359300183E-2</v>
      </c>
      <c r="AT142">
        <f t="shared" si="30"/>
        <v>6.0764258274766697E-2</v>
      </c>
    </row>
    <row r="143" spans="1:46">
      <c r="A143" s="283">
        <v>34</v>
      </c>
      <c r="B143" s="3">
        <v>40691</v>
      </c>
      <c r="C143">
        <f t="shared" ref="C143:AT143" si="31">LN(C89/C88)</f>
        <v>3.7437527072130591E-2</v>
      </c>
      <c r="D143">
        <f t="shared" si="31"/>
        <v>-6.688988150796652E-3</v>
      </c>
      <c r="E143">
        <f t="shared" si="31"/>
        <v>-6.3178901621531558E-2</v>
      </c>
      <c r="F143">
        <f t="shared" si="31"/>
        <v>2.3981964686485405E-2</v>
      </c>
      <c r="G143">
        <f t="shared" si="31"/>
        <v>5.5710450494554295E-3</v>
      </c>
      <c r="H143">
        <f t="shared" si="31"/>
        <v>1.8018505502678212E-2</v>
      </c>
      <c r="I143">
        <f t="shared" si="31"/>
        <v>0</v>
      </c>
      <c r="J143">
        <f t="shared" si="31"/>
        <v>5.5186415567290939E-2</v>
      </c>
      <c r="K143">
        <f t="shared" si="31"/>
        <v>2.5679014417691447E-2</v>
      </c>
      <c r="L143">
        <f t="shared" si="31"/>
        <v>-3.9220713153281267E-2</v>
      </c>
      <c r="M143">
        <f t="shared" si="31"/>
        <v>-2.4243611609992739E-2</v>
      </c>
      <c r="N143">
        <f t="shared" si="31"/>
        <v>-1.7391742711869222E-2</v>
      </c>
      <c r="O143">
        <f t="shared" si="31"/>
        <v>2.4692612590371414E-2</v>
      </c>
      <c r="P143">
        <f t="shared" si="31"/>
        <v>6.1412975964182402E-2</v>
      </c>
      <c r="Q143">
        <f t="shared" si="31"/>
        <v>-3.8839833316263894E-2</v>
      </c>
      <c r="R143">
        <f t="shared" si="31"/>
        <v>-2.6490081715769532E-3</v>
      </c>
      <c r="S143">
        <f t="shared" si="31"/>
        <v>0.11411330676742105</v>
      </c>
      <c r="T143">
        <f t="shared" si="31"/>
        <v>-1.6260520871780405E-2</v>
      </c>
      <c r="U143">
        <f t="shared" si="31"/>
        <v>-7.5349437241786846E-2</v>
      </c>
      <c r="V143">
        <f t="shared" si="31"/>
        <v>-0.16251892949777494</v>
      </c>
      <c r="W143">
        <f t="shared" si="31"/>
        <v>-2.4292692569044587E-2</v>
      </c>
      <c r="X143">
        <f t="shared" si="31"/>
        <v>-2.2642476749759891E-2</v>
      </c>
      <c r="Y143">
        <f t="shared" si="31"/>
        <v>-3.1555344414820774E-2</v>
      </c>
      <c r="Z143">
        <f t="shared" si="31"/>
        <v>-6.1087691979838266E-2</v>
      </c>
      <c r="AA143">
        <f t="shared" si="31"/>
        <v>0</v>
      </c>
      <c r="AB143">
        <f t="shared" si="31"/>
        <v>-3.1945928637972902E-2</v>
      </c>
      <c r="AC143">
        <f t="shared" si="31"/>
        <v>-2.7398974188114388E-2</v>
      </c>
      <c r="AD143">
        <f t="shared" si="31"/>
        <v>-8.6568016308458937E-2</v>
      </c>
      <c r="AE143">
        <f t="shared" si="31"/>
        <v>-8.870077041665099E-2</v>
      </c>
      <c r="AF143">
        <f t="shared" si="31"/>
        <v>-5.2281506510041126E-2</v>
      </c>
      <c r="AG143">
        <f t="shared" si="31"/>
        <v>7.8590274593221501E-2</v>
      </c>
      <c r="AH143">
        <f t="shared" si="31"/>
        <v>-4.3842637864176491E-2</v>
      </c>
      <c r="AI143">
        <f t="shared" si="31"/>
        <v>1.8433701688837966E-2</v>
      </c>
      <c r="AJ143">
        <f t="shared" si="31"/>
        <v>-2.6088436084297853E-2</v>
      </c>
      <c r="AK143">
        <f t="shared" si="31"/>
        <v>0.17569395160122209</v>
      </c>
      <c r="AL143">
        <f t="shared" si="31"/>
        <v>0</v>
      </c>
      <c r="AM143">
        <f t="shared" si="31"/>
        <v>-8.5861290606392401E-2</v>
      </c>
      <c r="AN143">
        <f t="shared" si="31"/>
        <v>-7.7318247783970048E-2</v>
      </c>
      <c r="AO143">
        <f t="shared" si="31"/>
        <v>2.6202372394024117E-2</v>
      </c>
      <c r="AP143">
        <f t="shared" si="31"/>
        <v>2.1364448958398844E-2</v>
      </c>
      <c r="AQ143">
        <f t="shared" si="31"/>
        <v>2.4491020008295696E-2</v>
      </c>
      <c r="AR143">
        <f t="shared" si="31"/>
        <v>-4.5351551653913741E-3</v>
      </c>
      <c r="AS143">
        <f t="shared" si="31"/>
        <v>-0.11886120287672881</v>
      </c>
      <c r="AT143">
        <f t="shared" si="31"/>
        <v>-2.7160879464251015E-2</v>
      </c>
    </row>
    <row r="144" spans="1:46">
      <c r="A144" s="283">
        <v>35</v>
      </c>
      <c r="B144" s="3">
        <v>40722</v>
      </c>
      <c r="C144">
        <f t="shared" ref="C144:AT144" si="32">LN(C90/C89)</f>
        <v>4.8665171981281008E-2</v>
      </c>
      <c r="D144">
        <f t="shared" si="32"/>
        <v>-6.2303883336154865E-2</v>
      </c>
      <c r="E144">
        <f t="shared" si="32"/>
        <v>-5.7523844138186599E-2</v>
      </c>
      <c r="F144">
        <f t="shared" si="32"/>
        <v>-1.9139340210697395E-2</v>
      </c>
      <c r="G144">
        <f t="shared" si="32"/>
        <v>-1.6807118316381289E-2</v>
      </c>
      <c r="H144">
        <f t="shared" si="32"/>
        <v>-5.5059777183027431E-2</v>
      </c>
      <c r="I144">
        <f t="shared" si="32"/>
        <v>-7.7609004776365759E-2</v>
      </c>
      <c r="J144">
        <f t="shared" si="32"/>
        <v>-9.1291420209407115E-2</v>
      </c>
      <c r="K144">
        <f t="shared" si="32"/>
        <v>1.1204599012863062E-2</v>
      </c>
      <c r="L144">
        <f t="shared" si="32"/>
        <v>-6.1875403718087529E-2</v>
      </c>
      <c r="M144">
        <f t="shared" si="32"/>
        <v>0</v>
      </c>
      <c r="N144">
        <f t="shared" si="32"/>
        <v>4.2925044717033844E-2</v>
      </c>
      <c r="O144">
        <f t="shared" si="32"/>
        <v>-7.5985906977921985E-2</v>
      </c>
      <c r="P144">
        <f t="shared" si="32"/>
        <v>-6.1412975964182326E-2</v>
      </c>
      <c r="Q144">
        <f t="shared" si="32"/>
        <v>-3.0153038170687558E-2</v>
      </c>
      <c r="R144">
        <f t="shared" si="32"/>
        <v>-4.6141155997855121E-2</v>
      </c>
      <c r="S144">
        <f t="shared" si="32"/>
        <v>-1.9802627296179754E-2</v>
      </c>
      <c r="T144">
        <f t="shared" si="32"/>
        <v>-5.4750514771408215E-2</v>
      </c>
      <c r="U144">
        <f t="shared" si="32"/>
        <v>-0.1005412292218774</v>
      </c>
      <c r="V144">
        <f t="shared" si="32"/>
        <v>-6.6322642931072609E-2</v>
      </c>
      <c r="W144">
        <f t="shared" si="32"/>
        <v>-4.6129771727501295E-2</v>
      </c>
      <c r="X144">
        <f t="shared" si="32"/>
        <v>3.0077455237277954E-2</v>
      </c>
      <c r="Y144">
        <f t="shared" si="32"/>
        <v>-4.89870339407147E-2</v>
      </c>
      <c r="Z144">
        <f t="shared" si="32"/>
        <v>-0.11679926774625062</v>
      </c>
      <c r="AA144">
        <f t="shared" si="32"/>
        <v>-7.6633226020915962E-2</v>
      </c>
      <c r="AB144">
        <f t="shared" si="32"/>
        <v>-6.8091564530938689E-2</v>
      </c>
      <c r="AC144">
        <f t="shared" si="32"/>
        <v>-0.20935022918187393</v>
      </c>
      <c r="AD144">
        <f t="shared" si="32"/>
        <v>-6.5957967791797398E-2</v>
      </c>
      <c r="AE144">
        <f t="shared" si="32"/>
        <v>-3.8409448114871181E-2</v>
      </c>
      <c r="AF144">
        <f t="shared" si="32"/>
        <v>-8.8553397341445059E-2</v>
      </c>
      <c r="AG144">
        <f t="shared" si="32"/>
        <v>-5.374427600669069E-2</v>
      </c>
      <c r="AH144">
        <f t="shared" si="32"/>
        <v>-4.8790164169432056E-2</v>
      </c>
      <c r="AI144">
        <f t="shared" si="32"/>
        <v>-3.2485455144488425E-2</v>
      </c>
      <c r="AJ144">
        <f t="shared" si="32"/>
        <v>-5.8974002459551193E-2</v>
      </c>
      <c r="AK144">
        <f t="shared" si="32"/>
        <v>-2.0672570804719799E-2</v>
      </c>
      <c r="AL144">
        <f t="shared" si="32"/>
        <v>-0.10536051565782628</v>
      </c>
      <c r="AM144">
        <f t="shared" si="32"/>
        <v>-0.27625337662815824</v>
      </c>
      <c r="AN144">
        <f t="shared" si="32"/>
        <v>-8.730373191058366E-2</v>
      </c>
      <c r="AO144">
        <f t="shared" si="32"/>
        <v>0</v>
      </c>
      <c r="AP144">
        <f t="shared" si="32"/>
        <v>2.6188802518372471E-2</v>
      </c>
      <c r="AQ144">
        <f t="shared" si="32"/>
        <v>-0.10178269430994236</v>
      </c>
      <c r="AR144">
        <f t="shared" si="32"/>
        <v>-0.15718558352241227</v>
      </c>
      <c r="AS144">
        <f t="shared" si="32"/>
        <v>-3.9609138095045827E-2</v>
      </c>
      <c r="AT144">
        <f t="shared" si="32"/>
        <v>-5.7615427475860792E-2</v>
      </c>
    </row>
    <row r="145" spans="1:46">
      <c r="A145" s="283">
        <v>36</v>
      </c>
      <c r="B145" s="3">
        <v>40752</v>
      </c>
      <c r="C145">
        <f t="shared" ref="C145:AT145" si="33">LN(C91/C90)</f>
        <v>0.13976194237515863</v>
      </c>
      <c r="D145">
        <f t="shared" si="33"/>
        <v>0.3262157364540238</v>
      </c>
      <c r="E145">
        <f t="shared" si="33"/>
        <v>0.13229707854063752</v>
      </c>
      <c r="F145">
        <f t="shared" si="33"/>
        <v>0.11401857840094097</v>
      </c>
      <c r="G145">
        <f t="shared" si="33"/>
        <v>3.8786025035156449E-2</v>
      </c>
      <c r="H145">
        <f t="shared" si="33"/>
        <v>4.6091107200267087E-2</v>
      </c>
      <c r="I145">
        <f t="shared" si="33"/>
        <v>6.6889807068784557E-2</v>
      </c>
      <c r="J145">
        <f t="shared" si="33"/>
        <v>0.14994014729091487</v>
      </c>
      <c r="K145">
        <f t="shared" si="33"/>
        <v>0.29046371541365773</v>
      </c>
      <c r="L145">
        <f t="shared" si="33"/>
        <v>6.8519946436756143E-2</v>
      </c>
      <c r="M145">
        <f t="shared" si="33"/>
        <v>3.6148514116311148E-2</v>
      </c>
      <c r="N145">
        <f t="shared" si="33"/>
        <v>0.21808878065258569</v>
      </c>
      <c r="O145">
        <f t="shared" si="33"/>
        <v>9.2115288907805737E-2</v>
      </c>
      <c r="P145">
        <f t="shared" si="33"/>
        <v>0.12459187758571398</v>
      </c>
      <c r="Q145">
        <f t="shared" si="33"/>
        <v>9.7163748453647669E-2</v>
      </c>
      <c r="R145">
        <f t="shared" si="33"/>
        <v>5.4067221270275793E-2</v>
      </c>
      <c r="S145">
        <f t="shared" si="33"/>
        <v>0.12663265093336601</v>
      </c>
      <c r="T145">
        <f t="shared" si="33"/>
        <v>7.1011035643188697E-2</v>
      </c>
      <c r="U145">
        <f t="shared" si="33"/>
        <v>0.10919929196499201</v>
      </c>
      <c r="V145">
        <f t="shared" si="33"/>
        <v>0.28195139774279582</v>
      </c>
      <c r="W145">
        <f t="shared" si="33"/>
        <v>0.19086861737241304</v>
      </c>
      <c r="X145">
        <f t="shared" si="33"/>
        <v>0.13815033848081718</v>
      </c>
      <c r="Y145">
        <f t="shared" si="33"/>
        <v>0.1397876232390643</v>
      </c>
      <c r="Z145">
        <f t="shared" si="33"/>
        <v>0.19986586644486404</v>
      </c>
      <c r="AA145">
        <f t="shared" si="33"/>
        <v>7.6633226020915893E-2</v>
      </c>
      <c r="AB145">
        <f t="shared" si="33"/>
        <v>0.16184302545041396</v>
      </c>
      <c r="AC145">
        <f t="shared" si="33"/>
        <v>0.16968497278944256</v>
      </c>
      <c r="AD145">
        <f t="shared" si="33"/>
        <v>0.15252598410025622</v>
      </c>
      <c r="AE145">
        <f t="shared" si="33"/>
        <v>0.11106709369094651</v>
      </c>
      <c r="AF145">
        <f t="shared" si="33"/>
        <v>8.0042707673536356E-2</v>
      </c>
      <c r="AG145">
        <f t="shared" si="33"/>
        <v>5.3744276006690614E-2</v>
      </c>
      <c r="AH145">
        <f t="shared" si="33"/>
        <v>0.10859058747221931</v>
      </c>
      <c r="AI145">
        <f t="shared" si="33"/>
        <v>9.8734840685689051E-2</v>
      </c>
      <c r="AJ145">
        <f t="shared" si="33"/>
        <v>0.17135825199668511</v>
      </c>
      <c r="AK145">
        <f t="shared" si="33"/>
        <v>0.19615064494499995</v>
      </c>
      <c r="AL145">
        <f t="shared" si="33"/>
        <v>5.0552279162831247E-2</v>
      </c>
      <c r="AM145">
        <f t="shared" si="33"/>
        <v>3.5718082602079246E-2</v>
      </c>
      <c r="AN145">
        <f t="shared" si="33"/>
        <v>9.0514007540831901E-2</v>
      </c>
      <c r="AO145">
        <f t="shared" si="33"/>
        <v>3.3901551675681416E-2</v>
      </c>
      <c r="AP145">
        <f t="shared" si="33"/>
        <v>0.14380158382613814</v>
      </c>
      <c r="AQ145">
        <f t="shared" si="33"/>
        <v>0.10178269430994238</v>
      </c>
      <c r="AR145">
        <f t="shared" si="33"/>
        <v>1.5831465216680662E-2</v>
      </c>
      <c r="AS145">
        <f t="shared" si="33"/>
        <v>3.9609138095045883E-2</v>
      </c>
      <c r="AT145">
        <f t="shared" si="33"/>
        <v>0.11734781481421938</v>
      </c>
    </row>
    <row r="146" spans="1:46">
      <c r="A146" s="283">
        <v>37</v>
      </c>
      <c r="B146" s="3">
        <v>40783</v>
      </c>
      <c r="C146">
        <f t="shared" ref="C146:AT146" si="34">LN(C92/C91)</f>
        <v>-8.7336799687545534E-3</v>
      </c>
      <c r="D146">
        <f t="shared" si="34"/>
        <v>-6.3851471986532779E-2</v>
      </c>
      <c r="E146">
        <f t="shared" si="34"/>
        <v>-0.13229707854063744</v>
      </c>
      <c r="F146">
        <f t="shared" si="34"/>
        <v>8.2691715845113409E-2</v>
      </c>
      <c r="G146">
        <f t="shared" si="34"/>
        <v>-4.4451762570833692E-2</v>
      </c>
      <c r="H146">
        <f t="shared" si="34"/>
        <v>-0.11643259655851199</v>
      </c>
      <c r="I146">
        <f t="shared" si="34"/>
        <v>-0.19262054445127813</v>
      </c>
      <c r="J146">
        <f t="shared" si="34"/>
        <v>0</v>
      </c>
      <c r="K146">
        <f t="shared" si="34"/>
        <v>6.062462181643484E-2</v>
      </c>
      <c r="L146">
        <f t="shared" si="34"/>
        <v>-4.0546094394349905E-2</v>
      </c>
      <c r="M146">
        <f t="shared" si="34"/>
        <v>-0.14629209321473707</v>
      </c>
      <c r="N146">
        <f t="shared" si="34"/>
        <v>0</v>
      </c>
      <c r="O146">
        <f t="shared" si="34"/>
        <v>-2.4292692569044587E-2</v>
      </c>
      <c r="P146">
        <f t="shared" si="34"/>
        <v>3.5288344735560286E-2</v>
      </c>
      <c r="Q146">
        <f t="shared" si="34"/>
        <v>-0.29511705093929896</v>
      </c>
      <c r="R146">
        <f t="shared" si="34"/>
        <v>-5.4067221270275821E-2</v>
      </c>
      <c r="S146">
        <f t="shared" si="34"/>
        <v>-4.9671609797237719E-2</v>
      </c>
      <c r="T146">
        <f t="shared" si="34"/>
        <v>-0.13815033848081718</v>
      </c>
      <c r="U146">
        <f t="shared" si="34"/>
        <v>-0.23615891942628003</v>
      </c>
      <c r="V146">
        <f t="shared" si="34"/>
        <v>-6.6840018125850331E-2</v>
      </c>
      <c r="W146">
        <f t="shared" si="34"/>
        <v>-0.12044615307586722</v>
      </c>
      <c r="X146">
        <f t="shared" si="34"/>
        <v>-5.2992530140510342E-2</v>
      </c>
      <c r="Y146">
        <f t="shared" si="34"/>
        <v>-0.10667393845463992</v>
      </c>
      <c r="Z146">
        <f t="shared" si="34"/>
        <v>-2.9413885206293341E-2</v>
      </c>
      <c r="AA146">
        <f t="shared" si="34"/>
        <v>-8.23049913651548E-3</v>
      </c>
      <c r="AB146">
        <f t="shared" si="34"/>
        <v>-6.9696848988745702E-2</v>
      </c>
      <c r="AC146">
        <f t="shared" si="34"/>
        <v>-4.1303806141235633E-2</v>
      </c>
      <c r="AD146">
        <f t="shared" si="34"/>
        <v>-9.1901362283821633E-2</v>
      </c>
      <c r="AE146">
        <f t="shared" si="34"/>
        <v>-0.12014431184206321</v>
      </c>
      <c r="AF146">
        <f t="shared" si="34"/>
        <v>-0.10188444958858514</v>
      </c>
      <c r="AG146">
        <f t="shared" si="34"/>
        <v>1.7291497110061043E-2</v>
      </c>
      <c r="AH146">
        <f t="shared" si="34"/>
        <v>-0.18179399149551426</v>
      </c>
      <c r="AI146">
        <f t="shared" si="34"/>
        <v>-3.4786116085415542E-2</v>
      </c>
      <c r="AJ146">
        <f t="shared" si="34"/>
        <v>-0.10361226346429699</v>
      </c>
      <c r="AK146">
        <f t="shared" si="34"/>
        <v>5.021975697902635E-2</v>
      </c>
      <c r="AL146">
        <f t="shared" si="34"/>
        <v>-0.18514243313559597</v>
      </c>
      <c r="AM146">
        <f t="shared" si="34"/>
        <v>-0.13503628380394297</v>
      </c>
      <c r="AN146">
        <f t="shared" si="34"/>
        <v>-0.20173964265105623</v>
      </c>
      <c r="AO146">
        <f t="shared" si="34"/>
        <v>-8.701137698962981E-2</v>
      </c>
      <c r="AP146">
        <f t="shared" si="34"/>
        <v>-2.7114438690391769E-2</v>
      </c>
      <c r="AQ146">
        <f t="shared" si="34"/>
        <v>-4.9596941139372061E-2</v>
      </c>
      <c r="AR146">
        <f t="shared" si="34"/>
        <v>0</v>
      </c>
      <c r="AS146">
        <f t="shared" si="34"/>
        <v>-0.23412596798281876</v>
      </c>
      <c r="AT146">
        <f t="shared" si="34"/>
        <v>-9.7041625087344902E-2</v>
      </c>
    </row>
    <row r="147" spans="1:46">
      <c r="A147" s="283">
        <v>38</v>
      </c>
      <c r="B147" s="3">
        <v>40814</v>
      </c>
      <c r="C147">
        <f t="shared" ref="C147:AT147" si="35">LN(C93/C92)</f>
        <v>6.7822596338761088E-2</v>
      </c>
      <c r="D147">
        <f t="shared" si="35"/>
        <v>-0.14776088172848725</v>
      </c>
      <c r="E147">
        <f t="shared" si="35"/>
        <v>-4.714677842570196E-2</v>
      </c>
      <c r="F147">
        <f t="shared" si="35"/>
        <v>1.1834457647002798E-2</v>
      </c>
      <c r="G147">
        <f t="shared" si="35"/>
        <v>-5.2490182621396805E-2</v>
      </c>
      <c r="H147">
        <f t="shared" si="35"/>
        <v>-0.19126834278376093</v>
      </c>
      <c r="I147">
        <f t="shared" si="35"/>
        <v>-7.8137682286986102E-2</v>
      </c>
      <c r="J147">
        <f t="shared" si="35"/>
        <v>-1.9169916107720172E-2</v>
      </c>
      <c r="K147">
        <f t="shared" si="35"/>
        <v>-0.12961749330338632</v>
      </c>
      <c r="L147">
        <f t="shared" si="35"/>
        <v>4.7146778425702078E-2</v>
      </c>
      <c r="M147">
        <f t="shared" si="35"/>
        <v>-0.19611487892629051</v>
      </c>
      <c r="N147">
        <f t="shared" si="35"/>
        <v>-8.4557388028062994E-2</v>
      </c>
      <c r="O147">
        <f t="shared" si="35"/>
        <v>-0.10354067894084033</v>
      </c>
      <c r="P147">
        <f t="shared" si="35"/>
        <v>-8.2080506242319246E-2</v>
      </c>
      <c r="Q147">
        <f t="shared" si="35"/>
        <v>-1.5037877364540559E-2</v>
      </c>
      <c r="R147">
        <f t="shared" si="35"/>
        <v>-6.6021101097793952E-2</v>
      </c>
      <c r="S147">
        <f t="shared" si="35"/>
        <v>-0.13883644485421581</v>
      </c>
      <c r="T147">
        <f t="shared" si="35"/>
        <v>-0.23947997063390331</v>
      </c>
      <c r="U147">
        <f t="shared" si="35"/>
        <v>-0.22971531647744434</v>
      </c>
      <c r="V147">
        <f t="shared" si="35"/>
        <v>-0.25593337413720063</v>
      </c>
      <c r="W147">
        <f t="shared" si="35"/>
        <v>-6.6139802504544945E-2</v>
      </c>
      <c r="X147">
        <f t="shared" si="35"/>
        <v>-0.28995222098632001</v>
      </c>
      <c r="Y147">
        <f t="shared" si="35"/>
        <v>-0.16352784163985531</v>
      </c>
      <c r="Z147">
        <f t="shared" si="35"/>
        <v>-3.0305349495328922E-2</v>
      </c>
      <c r="AA147">
        <f t="shared" si="35"/>
        <v>-7.7291674301646518E-2</v>
      </c>
      <c r="AB147">
        <f t="shared" si="35"/>
        <v>-0.19365312280350461</v>
      </c>
      <c r="AC147">
        <f t="shared" si="35"/>
        <v>-0.12155520157780704</v>
      </c>
      <c r="AD147">
        <f t="shared" si="35"/>
        <v>-0.18768349993534003</v>
      </c>
      <c r="AE147">
        <f t="shared" si="35"/>
        <v>-0.10232561196267229</v>
      </c>
      <c r="AF147">
        <f t="shared" si="35"/>
        <v>-0.15678295299757969</v>
      </c>
      <c r="AG147">
        <f t="shared" si="35"/>
        <v>-2.3122417420854264E-2</v>
      </c>
      <c r="AH147">
        <f t="shared" si="35"/>
        <v>-0.1536233927072112</v>
      </c>
      <c r="AI147">
        <f t="shared" si="35"/>
        <v>-4.0637645731826273E-2</v>
      </c>
      <c r="AJ147">
        <f t="shared" si="35"/>
        <v>-5.8443595870074666E-2</v>
      </c>
      <c r="AK147">
        <f t="shared" si="35"/>
        <v>-0.10309550902697412</v>
      </c>
      <c r="AL147">
        <f t="shared" si="35"/>
        <v>-0.28204825473352479</v>
      </c>
      <c r="AM147">
        <f t="shared" si="35"/>
        <v>-0.17034536574723888</v>
      </c>
      <c r="AN147">
        <f t="shared" si="35"/>
        <v>-0.20854475189305707</v>
      </c>
      <c r="AO147">
        <f t="shared" si="35"/>
        <v>-0.20067069546215111</v>
      </c>
      <c r="AP147">
        <f t="shared" si="35"/>
        <v>-2.8070631364888021E-2</v>
      </c>
      <c r="AQ147">
        <f t="shared" si="35"/>
        <v>-6.1154423153330577E-2</v>
      </c>
      <c r="AR147">
        <f t="shared" si="35"/>
        <v>-0.23499359123170568</v>
      </c>
      <c r="AS147">
        <f t="shared" si="35"/>
        <v>-8.9803894861303135E-2</v>
      </c>
      <c r="AT147">
        <f t="shared" si="35"/>
        <v>-0.10544671883877706</v>
      </c>
    </row>
    <row r="148" spans="1:46">
      <c r="A148" s="283">
        <v>39</v>
      </c>
      <c r="B148" s="3">
        <v>40844</v>
      </c>
      <c r="C148">
        <f t="shared" ref="C148:AT148" si="36">LN(C94/C93)</f>
        <v>2.4292692569044483E-2</v>
      </c>
      <c r="D148">
        <f t="shared" si="36"/>
        <v>-2.580788395587259E-2</v>
      </c>
      <c r="E148">
        <f t="shared" si="36"/>
        <v>2.3851215822179847E-2</v>
      </c>
      <c r="F148">
        <f t="shared" si="36"/>
        <v>4.5985113241823437E-2</v>
      </c>
      <c r="G148">
        <f t="shared" si="36"/>
        <v>-1.204833851617448E-2</v>
      </c>
      <c r="H148">
        <f t="shared" si="36"/>
        <v>-1.9802627296179643E-2</v>
      </c>
      <c r="I148">
        <f t="shared" si="36"/>
        <v>0.10074585907327192</v>
      </c>
      <c r="J148">
        <f t="shared" si="36"/>
        <v>-3.2789822822990838E-2</v>
      </c>
      <c r="K148">
        <f t="shared" si="36"/>
        <v>-1.3483350337286988E-2</v>
      </c>
      <c r="L148">
        <f t="shared" si="36"/>
        <v>4.5023681373955113E-2</v>
      </c>
      <c r="M148">
        <f t="shared" si="36"/>
        <v>-5.1293294387550349E-2</v>
      </c>
      <c r="N148">
        <f t="shared" si="36"/>
        <v>-2.985296314968116E-2</v>
      </c>
      <c r="O148">
        <f t="shared" si="36"/>
        <v>8.7011376989629699E-2</v>
      </c>
      <c r="P148">
        <f t="shared" si="36"/>
        <v>-1.0750479800574506E-2</v>
      </c>
      <c r="Q148">
        <f t="shared" si="36"/>
        <v>-6.7911205616210391E-2</v>
      </c>
      <c r="R148">
        <f t="shared" si="36"/>
        <v>-8.9419373756612821E-3</v>
      </c>
      <c r="S148">
        <f t="shared" si="36"/>
        <v>0.10589228913486178</v>
      </c>
      <c r="T148">
        <f t="shared" si="36"/>
        <v>-3.593200922606344E-2</v>
      </c>
      <c r="U148">
        <f t="shared" si="36"/>
        <v>7.9197041661193096E-2</v>
      </c>
      <c r="V148">
        <f t="shared" si="36"/>
        <v>0.10178269430994238</v>
      </c>
      <c r="W148">
        <f t="shared" si="36"/>
        <v>5.0010420574661416E-2</v>
      </c>
      <c r="X148">
        <f t="shared" si="36"/>
        <v>7.020425867324856E-2</v>
      </c>
      <c r="Y148">
        <f t="shared" si="36"/>
        <v>-1.2187016103243565E-2</v>
      </c>
      <c r="Z148">
        <f t="shared" si="36"/>
        <v>-0.15800424914324832</v>
      </c>
      <c r="AA148">
        <f t="shared" si="36"/>
        <v>-0.11332868530700312</v>
      </c>
      <c r="AB148">
        <f t="shared" si="36"/>
        <v>2.0095864003138349E-2</v>
      </c>
      <c r="AC148">
        <f t="shared" si="36"/>
        <v>6.7796869853787691E-3</v>
      </c>
      <c r="AD148">
        <f t="shared" si="36"/>
        <v>-0.35207723469010288</v>
      </c>
      <c r="AE148">
        <f t="shared" si="36"/>
        <v>9.3165242564008127E-2</v>
      </c>
      <c r="AF148">
        <f t="shared" si="36"/>
        <v>0.1408843669297814</v>
      </c>
      <c r="AG148">
        <f t="shared" si="36"/>
        <v>-5.4067221270275821E-2</v>
      </c>
      <c r="AH148">
        <f t="shared" si="36"/>
        <v>0.15045381794593218</v>
      </c>
      <c r="AI148">
        <f t="shared" si="36"/>
        <v>6.6840018125850442E-2</v>
      </c>
      <c r="AJ148">
        <f t="shared" si="36"/>
        <v>8.8553397341445031E-2</v>
      </c>
      <c r="AK148">
        <f t="shared" si="36"/>
        <v>-5.1055170800284183E-2</v>
      </c>
      <c r="AL148">
        <f t="shared" si="36"/>
        <v>-5.7819570888826249E-2</v>
      </c>
      <c r="AM148">
        <f t="shared" si="36"/>
        <v>-8.9612158689687166E-2</v>
      </c>
      <c r="AN148">
        <f t="shared" si="36"/>
        <v>0.12260232209233228</v>
      </c>
      <c r="AO148">
        <f t="shared" si="36"/>
        <v>1.762160134981941E-2</v>
      </c>
      <c r="AP148">
        <f t="shared" si="36"/>
        <v>1.8866610646975441E-2</v>
      </c>
      <c r="AQ148">
        <f t="shared" si="36"/>
        <v>-0.11643259655851199</v>
      </c>
      <c r="AR148">
        <f t="shared" si="36"/>
        <v>-6.6445427186685013E-3</v>
      </c>
      <c r="AS148">
        <f t="shared" si="36"/>
        <v>-9.8671527507029663E-2</v>
      </c>
      <c r="AT148">
        <f t="shared" si="36"/>
        <v>6.3214715798734555E-2</v>
      </c>
    </row>
    <row r="149" spans="1:46">
      <c r="A149" s="283">
        <v>40</v>
      </c>
      <c r="B149" s="3">
        <v>40875</v>
      </c>
      <c r="C149">
        <f t="shared" ref="C149:AT149" si="37">LN(C95/C94)</f>
        <v>0.11332868530700327</v>
      </c>
      <c r="D149">
        <f t="shared" si="37"/>
        <v>9.9460793530638081E-2</v>
      </c>
      <c r="E149">
        <f t="shared" si="37"/>
        <v>-4.8285241159461999E-2</v>
      </c>
      <c r="F149">
        <f t="shared" si="37"/>
        <v>9.9726697939570327E-2</v>
      </c>
      <c r="G149">
        <f t="shared" si="37"/>
        <v>4.1549002912872481E-2</v>
      </c>
      <c r="H149">
        <f t="shared" si="37"/>
        <v>-5.6570351488394351E-2</v>
      </c>
      <c r="I149">
        <f t="shared" si="37"/>
        <v>-0.13306840736989597</v>
      </c>
      <c r="J149">
        <f t="shared" si="37"/>
        <v>-4.7790663836348439E-2</v>
      </c>
      <c r="K149">
        <f t="shared" si="37"/>
        <v>6.5669103507857235E-2</v>
      </c>
      <c r="L149">
        <f t="shared" si="37"/>
        <v>0.10157979281792023</v>
      </c>
      <c r="M149">
        <f t="shared" si="37"/>
        <v>3.4486176071169189E-2</v>
      </c>
      <c r="N149">
        <f t="shared" si="37"/>
        <v>8.0042707673536356E-2</v>
      </c>
      <c r="O149">
        <f t="shared" si="37"/>
        <v>7.2320661579626078E-2</v>
      </c>
      <c r="P149">
        <f t="shared" si="37"/>
        <v>7.7745348624853078E-2</v>
      </c>
      <c r="Q149">
        <f t="shared" si="37"/>
        <v>5.3908486348765933E-3</v>
      </c>
      <c r="R149">
        <f t="shared" si="37"/>
        <v>4.6792161506758884E-2</v>
      </c>
      <c r="S149">
        <f t="shared" si="37"/>
        <v>-9.6154586994419804E-3</v>
      </c>
      <c r="T149">
        <f t="shared" si="37"/>
        <v>0.15240700022243159</v>
      </c>
      <c r="U149">
        <f t="shared" si="37"/>
        <v>-2.5708356710207037E-2</v>
      </c>
      <c r="V149">
        <f t="shared" si="37"/>
        <v>-2.724964244737536E-2</v>
      </c>
      <c r="W149">
        <f t="shared" si="37"/>
        <v>-7.1609532378123147E-2</v>
      </c>
      <c r="X149">
        <f t="shared" si="37"/>
        <v>0</v>
      </c>
      <c r="Y149">
        <f t="shared" si="37"/>
        <v>-8.0099475860659561E-2</v>
      </c>
      <c r="Z149">
        <f t="shared" si="37"/>
        <v>6.1154423153330646E-2</v>
      </c>
      <c r="AA149">
        <f t="shared" si="37"/>
        <v>2.9558802241544429E-2</v>
      </c>
      <c r="AB149">
        <f t="shared" si="37"/>
        <v>1.8672741705274682E-2</v>
      </c>
      <c r="AC149">
        <f t="shared" si="37"/>
        <v>1.342302033214055E-2</v>
      </c>
      <c r="AD149">
        <f t="shared" si="37"/>
        <v>-1.8519047767237642E-2</v>
      </c>
      <c r="AE149">
        <f t="shared" si="37"/>
        <v>-2.4845998586530776E-2</v>
      </c>
      <c r="AF149">
        <f t="shared" si="37"/>
        <v>-3.2576170434612715E-2</v>
      </c>
      <c r="AG149">
        <f t="shared" si="37"/>
        <v>4.2302379690689368E-2</v>
      </c>
      <c r="AH149">
        <f t="shared" si="37"/>
        <v>9.4787439545437387E-3</v>
      </c>
      <c r="AI149">
        <f t="shared" si="37"/>
        <v>6.6691374498672143E-2</v>
      </c>
      <c r="AJ149">
        <f t="shared" si="37"/>
        <v>-0.11672427430814143</v>
      </c>
      <c r="AK149">
        <f t="shared" si="37"/>
        <v>6.0064240742650078E-2</v>
      </c>
      <c r="AL149">
        <f t="shared" si="37"/>
        <v>-3.6367644170874715E-2</v>
      </c>
      <c r="AM149">
        <f t="shared" si="37"/>
        <v>0</v>
      </c>
      <c r="AN149">
        <f t="shared" si="37"/>
        <v>4.5937095187025608E-2</v>
      </c>
      <c r="AO149">
        <f t="shared" si="37"/>
        <v>0.10754154160418654</v>
      </c>
      <c r="AP149">
        <f t="shared" si="37"/>
        <v>3.1754846239809245E-2</v>
      </c>
      <c r="AQ149">
        <f t="shared" si="37"/>
        <v>3.1875208530449034E-2</v>
      </c>
      <c r="AR149">
        <f t="shared" si="37"/>
        <v>0.13102826240640419</v>
      </c>
      <c r="AS149">
        <f t="shared" si="37"/>
        <v>0</v>
      </c>
      <c r="AT149">
        <f t="shared" si="37"/>
        <v>-3.7353453016538501E-3</v>
      </c>
    </row>
    <row r="150" spans="1:46">
      <c r="A150" s="283">
        <v>41</v>
      </c>
      <c r="B150" s="3">
        <v>40905</v>
      </c>
      <c r="C150">
        <f t="shared" ref="C150:AT150" si="38">LN(C96/C95)</f>
        <v>2.1202207650602906E-2</v>
      </c>
      <c r="D150">
        <f t="shared" si="38"/>
        <v>5.1884835369011721E-2</v>
      </c>
      <c r="E150">
        <f t="shared" si="38"/>
        <v>7.1580803762984146E-2</v>
      </c>
      <c r="F150">
        <f t="shared" si="38"/>
        <v>9.3768159452509561E-2</v>
      </c>
      <c r="G150">
        <f t="shared" si="38"/>
        <v>5.6512210263342404E-2</v>
      </c>
      <c r="H150">
        <f t="shared" si="38"/>
        <v>0.16093036681263712</v>
      </c>
      <c r="I150">
        <f t="shared" si="38"/>
        <v>-1.4699629435583577E-2</v>
      </c>
      <c r="J150">
        <f t="shared" si="38"/>
        <v>0.24664152258151373</v>
      </c>
      <c r="K150">
        <f t="shared" si="38"/>
        <v>8.4388686458646035E-3</v>
      </c>
      <c r="L150">
        <f t="shared" si="38"/>
        <v>6.062462181643484E-2</v>
      </c>
      <c r="M150">
        <f t="shared" si="38"/>
        <v>7.3502461992926524E-2</v>
      </c>
      <c r="N150">
        <f t="shared" si="38"/>
        <v>5.443520655501715E-2</v>
      </c>
      <c r="O150">
        <f t="shared" si="38"/>
        <v>1.5384918839479456E-2</v>
      </c>
      <c r="P150">
        <f t="shared" si="38"/>
        <v>2.4887715507778883E-2</v>
      </c>
      <c r="Q150">
        <f t="shared" si="38"/>
        <v>0.14953173397096384</v>
      </c>
      <c r="R150">
        <f t="shared" si="38"/>
        <v>9.5310179804324935E-2</v>
      </c>
      <c r="S150">
        <f t="shared" si="38"/>
        <v>6.9958588606910468E-2</v>
      </c>
      <c r="T150">
        <f t="shared" si="38"/>
        <v>-5.2493558861437901E-3</v>
      </c>
      <c r="U150">
        <f t="shared" si="38"/>
        <v>9.4362761448284885E-2</v>
      </c>
      <c r="V150">
        <f t="shared" si="38"/>
        <v>2.7249642447375322E-2</v>
      </c>
      <c r="W150">
        <f t="shared" si="38"/>
        <v>6.7536206990487277E-2</v>
      </c>
      <c r="X150">
        <f t="shared" si="38"/>
        <v>0.10451269873548671</v>
      </c>
      <c r="Y150">
        <f t="shared" si="38"/>
        <v>3.4098334280734104E-2</v>
      </c>
      <c r="Z150">
        <f t="shared" si="38"/>
        <v>4.9596941139371978E-2</v>
      </c>
      <c r="AA150">
        <f t="shared" si="38"/>
        <v>1.9231361927887592E-2</v>
      </c>
      <c r="AB150">
        <f t="shared" si="38"/>
        <v>4.5211114924462899E-2</v>
      </c>
      <c r="AC150">
        <f t="shared" si="38"/>
        <v>7.6961041136128186E-2</v>
      </c>
      <c r="AD150">
        <f t="shared" si="38"/>
        <v>8.076135664445859E-2</v>
      </c>
      <c r="AE150">
        <f t="shared" si="38"/>
        <v>5.5059777183027389E-2</v>
      </c>
      <c r="AF150">
        <f t="shared" si="38"/>
        <v>4.8474756502410898E-2</v>
      </c>
      <c r="AG150">
        <f t="shared" si="38"/>
        <v>2.9156584291455487E-2</v>
      </c>
      <c r="AH150">
        <f t="shared" si="38"/>
        <v>-1.9048194970694474E-2</v>
      </c>
      <c r="AI150">
        <f t="shared" si="38"/>
        <v>3.5647338730237697E-2</v>
      </c>
      <c r="AJ150">
        <f t="shared" si="38"/>
        <v>9.5310179804324935E-2</v>
      </c>
      <c r="AK150">
        <f t="shared" si="38"/>
        <v>6.0888369675012391E-2</v>
      </c>
      <c r="AL150">
        <f t="shared" si="38"/>
        <v>3.6367644170874791E-2</v>
      </c>
      <c r="AM150">
        <f t="shared" si="38"/>
        <v>4.08219945202552E-2</v>
      </c>
      <c r="AN150">
        <f t="shared" si="38"/>
        <v>-3.7426405519116912E-2</v>
      </c>
      <c r="AO150">
        <f t="shared" si="38"/>
        <v>0.13720112151348496</v>
      </c>
      <c r="AP150">
        <f t="shared" si="38"/>
        <v>4.3995911717336599E-2</v>
      </c>
      <c r="AQ150">
        <f t="shared" si="38"/>
        <v>4.7856021177635141E-2</v>
      </c>
      <c r="AR150">
        <f t="shared" si="38"/>
        <v>0.11060987154397002</v>
      </c>
      <c r="AS150">
        <f t="shared" si="38"/>
        <v>0.16362942378180192</v>
      </c>
      <c r="AT150">
        <f t="shared" si="38"/>
        <v>4.600890793469533E-2</v>
      </c>
    </row>
    <row r="151" spans="1:46">
      <c r="A151" s="283">
        <v>42</v>
      </c>
      <c r="B151" s="3">
        <v>40936</v>
      </c>
      <c r="C151">
        <f t="shared" ref="C151:AT151" si="39">LN(C97/C96)</f>
        <v>6.1035890586369088E-2</v>
      </c>
      <c r="D151">
        <f t="shared" si="39"/>
        <v>0.14609261849749589</v>
      </c>
      <c r="E151">
        <f t="shared" si="39"/>
        <v>3.2840752011900187E-3</v>
      </c>
      <c r="F151">
        <f t="shared" si="39"/>
        <v>-3.7740327982847086E-2</v>
      </c>
      <c r="G151">
        <f t="shared" si="39"/>
        <v>1.6349138001529411E-2</v>
      </c>
      <c r="H151">
        <f t="shared" si="39"/>
        <v>-4.5146803545265827E-3</v>
      </c>
      <c r="I151">
        <f t="shared" si="39"/>
        <v>9.8663287099893623E-2</v>
      </c>
      <c r="J151">
        <f t="shared" si="39"/>
        <v>-7.9587437918347437E-2</v>
      </c>
      <c r="K151">
        <f t="shared" si="39"/>
        <v>-1.2685159527315687E-2</v>
      </c>
      <c r="L151">
        <f t="shared" si="39"/>
        <v>1.0638398205055797E-2</v>
      </c>
      <c r="M151">
        <f t="shared" si="39"/>
        <v>4.6162041763162624E-2</v>
      </c>
      <c r="N151">
        <f t="shared" si="39"/>
        <v>2.6145280104322207E-2</v>
      </c>
      <c r="O151">
        <f t="shared" si="39"/>
        <v>6.6445099408152755E-2</v>
      </c>
      <c r="P151">
        <f t="shared" si="39"/>
        <v>8.8440969799224292E-2</v>
      </c>
      <c r="Q151">
        <f t="shared" si="39"/>
        <v>-4.7402238894583906E-2</v>
      </c>
      <c r="R151">
        <f t="shared" si="39"/>
        <v>-3.9740328649514108E-2</v>
      </c>
      <c r="S151">
        <f t="shared" si="39"/>
        <v>-2.7398974188114388E-2</v>
      </c>
      <c r="T151">
        <f t="shared" si="39"/>
        <v>-2.6668247082161294E-2</v>
      </c>
      <c r="U151">
        <f t="shared" si="39"/>
        <v>5.9787918378973431E-2</v>
      </c>
      <c r="V151">
        <f t="shared" si="39"/>
        <v>-7.2455079215422227E-2</v>
      </c>
      <c r="W151">
        <f t="shared" si="39"/>
        <v>3.2131278182793196E-2</v>
      </c>
      <c r="X151">
        <f t="shared" si="39"/>
        <v>0.10153641921942282</v>
      </c>
      <c r="Y151">
        <f t="shared" si="39"/>
        <v>1.3461060502565342E-2</v>
      </c>
      <c r="Z151">
        <f t="shared" si="39"/>
        <v>4.7252884850545511E-2</v>
      </c>
      <c r="AA151">
        <f t="shared" si="39"/>
        <v>7.3427468554817146E-2</v>
      </c>
      <c r="AB151">
        <f t="shared" si="39"/>
        <v>3.5700848799698925E-2</v>
      </c>
      <c r="AC151">
        <f t="shared" si="39"/>
        <v>1.2270092591814401E-2</v>
      </c>
      <c r="AD151">
        <f t="shared" si="39"/>
        <v>0.19516969927180358</v>
      </c>
      <c r="AE151">
        <f t="shared" si="39"/>
        <v>5.500662951221158E-2</v>
      </c>
      <c r="AF151">
        <f t="shared" si="39"/>
        <v>6.1181156475081162E-2</v>
      </c>
      <c r="AG151">
        <f t="shared" si="39"/>
        <v>5.7306747089850745E-3</v>
      </c>
      <c r="AH151">
        <f t="shared" si="39"/>
        <v>8.887928947403434E-2</v>
      </c>
      <c r="AI151">
        <f t="shared" si="39"/>
        <v>7.7519768043179237E-3</v>
      </c>
      <c r="AJ151">
        <f t="shared" si="39"/>
        <v>4.6520015634892907E-2</v>
      </c>
      <c r="AK151">
        <f t="shared" si="39"/>
        <v>6.1368946376292019E-2</v>
      </c>
      <c r="AL151">
        <f t="shared" si="39"/>
        <v>6.8992871486951421E-2</v>
      </c>
      <c r="AM151">
        <f t="shared" si="39"/>
        <v>0.14410034397375687</v>
      </c>
      <c r="AN151">
        <f t="shared" si="39"/>
        <v>6.9557683701910192E-2</v>
      </c>
      <c r="AO151">
        <f t="shared" si="39"/>
        <v>1.6949558313773205E-2</v>
      </c>
      <c r="AP151">
        <f t="shared" si="39"/>
        <v>0.12483050886452922</v>
      </c>
      <c r="AQ151">
        <f t="shared" si="39"/>
        <v>-2.8437935320533514E-2</v>
      </c>
      <c r="AR151">
        <f t="shared" si="39"/>
        <v>0.11370258697522137</v>
      </c>
      <c r="AS151">
        <f t="shared" si="39"/>
        <v>2.4845998586530804E-2</v>
      </c>
      <c r="AT151">
        <f t="shared" si="39"/>
        <v>4.1130589730281344E-2</v>
      </c>
    </row>
    <row r="152" spans="1:46">
      <c r="A152" s="283">
        <v>43</v>
      </c>
      <c r="B152" s="3">
        <v>40967</v>
      </c>
      <c r="C152">
        <f t="shared" ref="C152:AT152" si="40">LN(C98/C97)</f>
        <v>3.2365284502031716E-2</v>
      </c>
      <c r="D152">
        <f t="shared" si="40"/>
        <v>0</v>
      </c>
      <c r="E152">
        <f t="shared" si="40"/>
        <v>0.14898513652636283</v>
      </c>
      <c r="F152">
        <f t="shared" si="40"/>
        <v>-2.9270382300113224E-2</v>
      </c>
      <c r="G152">
        <f t="shared" si="40"/>
        <v>5.2643733485421881E-2</v>
      </c>
      <c r="H152">
        <f t="shared" si="40"/>
        <v>9.9005523775448911E-2</v>
      </c>
      <c r="I152">
        <f t="shared" si="40"/>
        <v>8.513304084516618E-2</v>
      </c>
      <c r="J152">
        <f t="shared" si="40"/>
        <v>5.1884835369011721E-2</v>
      </c>
      <c r="K152">
        <f t="shared" si="40"/>
        <v>0.26726223344303818</v>
      </c>
      <c r="L152">
        <f t="shared" si="40"/>
        <v>-2.6811257450656815E-2</v>
      </c>
      <c r="M152">
        <f t="shared" si="40"/>
        <v>2.2305757514298186E-2</v>
      </c>
      <c r="N152">
        <f t="shared" si="40"/>
        <v>6.8562671437296677E-2</v>
      </c>
      <c r="O152">
        <f t="shared" si="40"/>
        <v>3.5091319811270193E-2</v>
      </c>
      <c r="P152">
        <f t="shared" si="40"/>
        <v>0.13758566295256333</v>
      </c>
      <c r="Q152">
        <f t="shared" si="40"/>
        <v>9.7073848691821549E-2</v>
      </c>
      <c r="R152">
        <f t="shared" si="40"/>
        <v>2.139118998131756E-2</v>
      </c>
      <c r="S152">
        <f t="shared" si="40"/>
        <v>4.6189458562944583E-3</v>
      </c>
      <c r="T152">
        <f t="shared" si="40"/>
        <v>0.15954152846213474</v>
      </c>
      <c r="U152">
        <f t="shared" si="40"/>
        <v>5.2185753170570039E-2</v>
      </c>
      <c r="V152">
        <f t="shared" si="40"/>
        <v>0.1197079640659679</v>
      </c>
      <c r="W152">
        <f t="shared" si="40"/>
        <v>0.13649143425299951</v>
      </c>
      <c r="X152">
        <f t="shared" si="40"/>
        <v>-6.9204428445737952E-3</v>
      </c>
      <c r="Y152">
        <f t="shared" si="40"/>
        <v>0.12425201889528248</v>
      </c>
      <c r="Z152">
        <f t="shared" si="40"/>
        <v>3.7740327982847113E-2</v>
      </c>
      <c r="AA152">
        <f t="shared" si="40"/>
        <v>3.4786116085415604E-2</v>
      </c>
      <c r="AB152">
        <f t="shared" si="40"/>
        <v>8.1863870078172946E-2</v>
      </c>
      <c r="AC152">
        <f t="shared" si="40"/>
        <v>-2.4692612590371411E-2</v>
      </c>
      <c r="AD152">
        <f t="shared" si="40"/>
        <v>-2.1506205220963505E-2</v>
      </c>
      <c r="AE152">
        <f t="shared" si="40"/>
        <v>3.3244058579154433E-2</v>
      </c>
      <c r="AF152">
        <f t="shared" si="40"/>
        <v>6.602110109779398E-2</v>
      </c>
      <c r="AG152">
        <f t="shared" si="40"/>
        <v>-2.8987536873252298E-2</v>
      </c>
      <c r="AH152">
        <f t="shared" si="40"/>
        <v>3.7414435850257631E-2</v>
      </c>
      <c r="AI152">
        <f t="shared" si="40"/>
        <v>0.13014729464028202</v>
      </c>
      <c r="AJ152">
        <f t="shared" si="40"/>
        <v>4.4451762570833796E-2</v>
      </c>
      <c r="AK152">
        <f t="shared" si="40"/>
        <v>0.17435338714477774</v>
      </c>
      <c r="AL152">
        <f t="shared" si="40"/>
        <v>-1.1173300598125189E-2</v>
      </c>
      <c r="AM152">
        <f t="shared" si="40"/>
        <v>7.1011035643188697E-2</v>
      </c>
      <c r="AN152">
        <f t="shared" si="40"/>
        <v>0.1770375286473494</v>
      </c>
      <c r="AO152">
        <f t="shared" si="40"/>
        <v>0</v>
      </c>
      <c r="AP152">
        <f t="shared" si="40"/>
        <v>5.1607153692634973E-2</v>
      </c>
      <c r="AQ152">
        <f t="shared" si="40"/>
        <v>3.7740327982847113E-2</v>
      </c>
      <c r="AR152">
        <f t="shared" si="40"/>
        <v>-7.2671190297359037E-2</v>
      </c>
      <c r="AS152">
        <f t="shared" si="40"/>
        <v>5.3744276006690829E-2</v>
      </c>
      <c r="AT152">
        <f t="shared" si="40"/>
        <v>7.1202664527613604E-2</v>
      </c>
    </row>
    <row r="153" spans="1:46">
      <c r="A153" s="283">
        <v>44</v>
      </c>
      <c r="B153" s="3">
        <v>40996</v>
      </c>
      <c r="C153">
        <f t="shared" ref="C153:AT153" si="41">LN(C99/C98)</f>
        <v>0.16140365813227389</v>
      </c>
      <c r="D153">
        <f t="shared" si="41"/>
        <v>0.11454154173221241</v>
      </c>
      <c r="E153">
        <f t="shared" si="41"/>
        <v>5.495888428075741E-2</v>
      </c>
      <c r="F153">
        <f t="shared" si="41"/>
        <v>0.149898370088728</v>
      </c>
      <c r="G153">
        <f t="shared" si="41"/>
        <v>0.10689779497671278</v>
      </c>
      <c r="H153">
        <f t="shared" si="41"/>
        <v>0.1196028723733694</v>
      </c>
      <c r="I153">
        <f t="shared" si="41"/>
        <v>-4.4311046324911021E-2</v>
      </c>
      <c r="J153">
        <f t="shared" si="41"/>
        <v>0.1264841471091197</v>
      </c>
      <c r="K153">
        <f t="shared" si="41"/>
        <v>0.10796298947540804</v>
      </c>
      <c r="L153">
        <f t="shared" si="41"/>
        <v>0.16034265007517948</v>
      </c>
      <c r="M153">
        <f t="shared" si="41"/>
        <v>3.6105004642116356E-2</v>
      </c>
      <c r="N153">
        <f t="shared" si="41"/>
        <v>0.11912082849804341</v>
      </c>
      <c r="O153">
        <f t="shared" si="41"/>
        <v>6.8728792877620504E-3</v>
      </c>
      <c r="P153">
        <f t="shared" si="41"/>
        <v>1.5441937477462182E-2</v>
      </c>
      <c r="Q153">
        <f t="shared" si="41"/>
        <v>0.14530106455027575</v>
      </c>
      <c r="R153">
        <f t="shared" si="41"/>
        <v>-1.3315775975772175E-2</v>
      </c>
      <c r="S153">
        <f t="shared" si="41"/>
        <v>3.174869831458027E-2</v>
      </c>
      <c r="T153">
        <f t="shared" si="41"/>
        <v>1.3730192811902037E-2</v>
      </c>
      <c r="U153">
        <f t="shared" si="41"/>
        <v>0</v>
      </c>
      <c r="V153">
        <f t="shared" si="41"/>
        <v>-0.13133600206108698</v>
      </c>
      <c r="W153">
        <f t="shared" si="41"/>
        <v>5.6966824606677451E-2</v>
      </c>
      <c r="X153">
        <f t="shared" si="41"/>
        <v>-6.9686693160933158E-3</v>
      </c>
      <c r="Y153">
        <f t="shared" si="41"/>
        <v>4.0200297266783674E-2</v>
      </c>
      <c r="Z153">
        <f t="shared" si="41"/>
        <v>4.3485111939738891E-2</v>
      </c>
      <c r="AA153">
        <f t="shared" si="41"/>
        <v>-2.5975486403260677E-2</v>
      </c>
      <c r="AB153">
        <f t="shared" si="41"/>
        <v>0.1407107990741126</v>
      </c>
      <c r="AC153">
        <f t="shared" si="41"/>
        <v>-6.2696130135953742E-3</v>
      </c>
      <c r="AD153">
        <f t="shared" si="41"/>
        <v>9.6626835689071502E-2</v>
      </c>
      <c r="AE153">
        <f t="shared" si="41"/>
        <v>-2.4828861653869997E-2</v>
      </c>
      <c r="AF153">
        <f t="shared" si="41"/>
        <v>-2.7816429618768026E-3</v>
      </c>
      <c r="AG153">
        <f t="shared" si="41"/>
        <v>-2.3810648693718559E-2</v>
      </c>
      <c r="AH153">
        <f t="shared" si="41"/>
        <v>1.4025475354504458E-2</v>
      </c>
      <c r="AI153">
        <f t="shared" si="41"/>
        <v>2.6757449169549332E-2</v>
      </c>
      <c r="AJ153">
        <f t="shared" si="41"/>
        <v>0.14336431354076151</v>
      </c>
      <c r="AK153">
        <f t="shared" si="41"/>
        <v>0.16833531481921474</v>
      </c>
      <c r="AL153">
        <f t="shared" si="41"/>
        <v>-1.1299555253933394E-2</v>
      </c>
      <c r="AM153">
        <f t="shared" si="41"/>
        <v>4.7252884850545511E-2</v>
      </c>
      <c r="AN153">
        <f t="shared" si="41"/>
        <v>-3.7103750203377084E-2</v>
      </c>
      <c r="AO153">
        <f t="shared" si="41"/>
        <v>-8.4388686458645949E-3</v>
      </c>
      <c r="AP153">
        <f t="shared" si="41"/>
        <v>1.07961209797021E-2</v>
      </c>
      <c r="AQ153">
        <f t="shared" si="41"/>
        <v>0.1930660960769319</v>
      </c>
      <c r="AR153">
        <f t="shared" si="41"/>
        <v>1.0000083334583399E-2</v>
      </c>
      <c r="AS153">
        <f t="shared" si="41"/>
        <v>3.4289073478632165E-2</v>
      </c>
      <c r="AT153">
        <f t="shared" si="41"/>
        <v>5.0481391135933147E-2</v>
      </c>
    </row>
    <row r="154" spans="1:46">
      <c r="A154" s="283">
        <v>45</v>
      </c>
      <c r="B154" s="3">
        <v>41027</v>
      </c>
      <c r="C154">
        <f t="shared" ref="C154:AT154" si="42">LN(C100/C99)</f>
        <v>-1.6393809775676383E-2</v>
      </c>
      <c r="D154">
        <f t="shared" si="42"/>
        <v>4.6520015634892907E-2</v>
      </c>
      <c r="E154">
        <f t="shared" si="42"/>
        <v>-5.3619431413853991E-3</v>
      </c>
      <c r="F154">
        <f t="shared" si="42"/>
        <v>4.4451762570833796E-2</v>
      </c>
      <c r="G154">
        <f t="shared" si="42"/>
        <v>6.6840018125850442E-2</v>
      </c>
      <c r="H154">
        <f t="shared" si="42"/>
        <v>0</v>
      </c>
      <c r="I154">
        <f t="shared" si="42"/>
        <v>-0.10572016320710843</v>
      </c>
      <c r="J154">
        <f t="shared" si="42"/>
        <v>2.9270382300113237E-2</v>
      </c>
      <c r="K154">
        <f t="shared" si="42"/>
        <v>0.10536051565782635</v>
      </c>
      <c r="L154">
        <f t="shared" si="42"/>
        <v>0.12597980286056201</v>
      </c>
      <c r="M154">
        <f t="shared" si="42"/>
        <v>7.0671672230923528E-3</v>
      </c>
      <c r="N154">
        <f t="shared" si="42"/>
        <v>4.7006042375930576E-2</v>
      </c>
      <c r="O154">
        <f t="shared" si="42"/>
        <v>0.11014357909842591</v>
      </c>
      <c r="P154">
        <f t="shared" si="42"/>
        <v>0.13241983422033923</v>
      </c>
      <c r="Q154">
        <f t="shared" si="42"/>
        <v>-6.4919546099315606E-2</v>
      </c>
      <c r="R154">
        <f t="shared" si="42"/>
        <v>4.9683420146647027E-2</v>
      </c>
      <c r="S154">
        <f t="shared" si="42"/>
        <v>0.11380688727674394</v>
      </c>
      <c r="T154">
        <f t="shared" si="42"/>
        <v>4.5351551653913628E-3</v>
      </c>
      <c r="U154">
        <f t="shared" si="42"/>
        <v>-7.9336742236520957E-2</v>
      </c>
      <c r="V154">
        <f t="shared" si="42"/>
        <v>6.7822596338761088E-2</v>
      </c>
      <c r="W154">
        <f t="shared" si="42"/>
        <v>9.7245498919947809E-3</v>
      </c>
      <c r="X154">
        <f t="shared" si="42"/>
        <v>-3.559094510270263E-2</v>
      </c>
      <c r="Y154">
        <f t="shared" si="42"/>
        <v>-1.1408109313961835E-2</v>
      </c>
      <c r="Z154">
        <f t="shared" si="42"/>
        <v>0.12641392485565872</v>
      </c>
      <c r="AA154">
        <f t="shared" si="42"/>
        <v>1.7391742711869239E-2</v>
      </c>
      <c r="AB154">
        <f t="shared" si="42"/>
        <v>6.7474268309761359E-2</v>
      </c>
      <c r="AC154">
        <f t="shared" si="42"/>
        <v>6.269613013595395E-3</v>
      </c>
      <c r="AD154">
        <f t="shared" si="42"/>
        <v>1.3072081567352921E-2</v>
      </c>
      <c r="AE154">
        <f t="shared" si="42"/>
        <v>-2.2599831917240919E-2</v>
      </c>
      <c r="AF154">
        <f t="shared" si="42"/>
        <v>-4.2680731114880556E-2</v>
      </c>
      <c r="AG154">
        <f t="shared" si="42"/>
        <v>1.197619104671562E-2</v>
      </c>
      <c r="AH154">
        <f t="shared" si="42"/>
        <v>-3.6883613430554622E-2</v>
      </c>
      <c r="AI154">
        <f t="shared" si="42"/>
        <v>5.4588190284402996E-2</v>
      </c>
      <c r="AJ154">
        <f t="shared" si="42"/>
        <v>1.3605652055778678E-2</v>
      </c>
      <c r="AK154">
        <f t="shared" si="42"/>
        <v>5.4808236494994951E-2</v>
      </c>
      <c r="AL154">
        <f t="shared" si="42"/>
        <v>-4.6520015634892928E-2</v>
      </c>
      <c r="AM154">
        <f t="shared" si="42"/>
        <v>2.843793532053341E-2</v>
      </c>
      <c r="AN154">
        <f t="shared" si="42"/>
        <v>-7.4901308173117714E-2</v>
      </c>
      <c r="AO154">
        <f t="shared" si="42"/>
        <v>1.6807118316381191E-2</v>
      </c>
      <c r="AP154">
        <f t="shared" si="42"/>
        <v>9.2115288907805529E-2</v>
      </c>
      <c r="AQ154">
        <f t="shared" si="42"/>
        <v>-5.4915757596114653E-2</v>
      </c>
      <c r="AR154">
        <f t="shared" si="42"/>
        <v>-5.1031480012445875E-2</v>
      </c>
      <c r="AS154">
        <f t="shared" si="42"/>
        <v>-5.1884835369011686E-2</v>
      </c>
      <c r="AT154">
        <f t="shared" si="42"/>
        <v>7.0604020301557582E-4</v>
      </c>
    </row>
    <row r="155" spans="1:46">
      <c r="A155" s="283">
        <v>46</v>
      </c>
      <c r="B155" s="3">
        <v>41057</v>
      </c>
      <c r="C155">
        <f t="shared" ref="C155:AT155" si="43">LN(C101/C100)</f>
        <v>2.4491020008295696E-2</v>
      </c>
      <c r="D155">
        <f t="shared" si="43"/>
        <v>-8.1765954696567597E-2</v>
      </c>
      <c r="E155">
        <f t="shared" si="43"/>
        <v>-3.0015895940265609E-2</v>
      </c>
      <c r="F155">
        <f t="shared" si="43"/>
        <v>-1.3680103904080154E-2</v>
      </c>
      <c r="G155">
        <f t="shared" si="43"/>
        <v>-5.3109825313948408E-2</v>
      </c>
      <c r="H155">
        <f t="shared" si="43"/>
        <v>2.6907452919924402E-2</v>
      </c>
      <c r="I155">
        <f t="shared" si="43"/>
        <v>-0.17658266012493648</v>
      </c>
      <c r="J155">
        <f t="shared" si="43"/>
        <v>-2.9270382300113224E-2</v>
      </c>
      <c r="K155">
        <f t="shared" si="43"/>
        <v>0.12825433552367885</v>
      </c>
      <c r="L155">
        <f t="shared" si="43"/>
        <v>3.6076056473809591E-2</v>
      </c>
      <c r="M155">
        <f t="shared" si="43"/>
        <v>-0.11954515064978269</v>
      </c>
      <c r="N155">
        <f t="shared" si="43"/>
        <v>-4.1672696400568074E-2</v>
      </c>
      <c r="O155">
        <f t="shared" si="43"/>
        <v>-4.3894193557225264E-2</v>
      </c>
      <c r="P155">
        <f t="shared" si="43"/>
        <v>-4.1101675685551918E-2</v>
      </c>
      <c r="Q155">
        <f t="shared" si="43"/>
        <v>-0.12543418239190329</v>
      </c>
      <c r="R155">
        <f t="shared" si="43"/>
        <v>1.7699577099400857E-2</v>
      </c>
      <c r="S155">
        <f t="shared" si="43"/>
        <v>-1.2024192966801701E-2</v>
      </c>
      <c r="T155">
        <f t="shared" si="43"/>
        <v>-0.10485787679326052</v>
      </c>
      <c r="U155">
        <f t="shared" si="43"/>
        <v>-0.1587483890758879</v>
      </c>
      <c r="V155">
        <f t="shared" si="43"/>
        <v>-0.10354067894084044</v>
      </c>
      <c r="W155">
        <f t="shared" si="43"/>
        <v>-3.6128724088505537E-2</v>
      </c>
      <c r="X155">
        <f t="shared" si="43"/>
        <v>-7.5223421237587518E-2</v>
      </c>
      <c r="Y155">
        <f t="shared" si="43"/>
        <v>-0.1404566280578371</v>
      </c>
      <c r="Z155">
        <f t="shared" si="43"/>
        <v>-5.789397841890262E-2</v>
      </c>
      <c r="AA155">
        <f t="shared" si="43"/>
        <v>-2.6202372394024072E-2</v>
      </c>
      <c r="AB155">
        <f t="shared" si="43"/>
        <v>-2.1506205220963505E-2</v>
      </c>
      <c r="AC155">
        <f t="shared" si="43"/>
        <v>-7.7961541469711806E-2</v>
      </c>
      <c r="AD155">
        <f t="shared" si="43"/>
        <v>-0.10247866928293738</v>
      </c>
      <c r="AE155">
        <f t="shared" si="43"/>
        <v>-0.1117299639433062</v>
      </c>
      <c r="AF155">
        <f t="shared" si="43"/>
        <v>-0.12361395596717664</v>
      </c>
      <c r="AG155">
        <f t="shared" si="43"/>
        <v>-3.6367644170874833E-2</v>
      </c>
      <c r="AH155">
        <f t="shared" si="43"/>
        <v>-3.8296285077280438E-2</v>
      </c>
      <c r="AI155">
        <f t="shared" si="43"/>
        <v>-7.4588856991072636E-2</v>
      </c>
      <c r="AJ155">
        <f t="shared" si="43"/>
        <v>-6.2738340633423359E-2</v>
      </c>
      <c r="AK155">
        <f t="shared" si="43"/>
        <v>-5.199529511838033E-2</v>
      </c>
      <c r="AL155">
        <f t="shared" si="43"/>
        <v>-6.1368946376292012E-2</v>
      </c>
      <c r="AM155">
        <f t="shared" si="43"/>
        <v>-0.21848153820839847</v>
      </c>
      <c r="AN155">
        <f t="shared" si="43"/>
        <v>-0.21852460545791522</v>
      </c>
      <c r="AO155">
        <f t="shared" si="43"/>
        <v>-3.3901551675681339E-2</v>
      </c>
      <c r="AP155">
        <f t="shared" si="43"/>
        <v>-2.0906684819313712E-2</v>
      </c>
      <c r="AQ155">
        <f t="shared" si="43"/>
        <v>-0.11980119981262065</v>
      </c>
      <c r="AR155">
        <f t="shared" si="43"/>
        <v>-0.11060987154397003</v>
      </c>
      <c r="AS155">
        <f t="shared" si="43"/>
        <v>-0.11261887810814913</v>
      </c>
      <c r="AT155">
        <f t="shared" si="43"/>
        <v>-7.1107437287652314E-2</v>
      </c>
    </row>
    <row r="156" spans="1:46">
      <c r="A156" s="283">
        <v>47</v>
      </c>
      <c r="B156" s="3">
        <v>41088</v>
      </c>
      <c r="C156">
        <f t="shared" ref="C156:AT156" si="44">LN(C102/C101)</f>
        <v>0</v>
      </c>
      <c r="D156">
        <f t="shared" si="44"/>
        <v>7.3467151881872542E-2</v>
      </c>
      <c r="E156">
        <f t="shared" si="44"/>
        <v>3.8048067637529964E-2</v>
      </c>
      <c r="F156">
        <f t="shared" si="44"/>
        <v>9.4558582625012572E-2</v>
      </c>
      <c r="G156">
        <f t="shared" si="44"/>
        <v>8.2836005579148983E-2</v>
      </c>
      <c r="H156">
        <f t="shared" si="44"/>
        <v>3.4786116085415604E-2</v>
      </c>
      <c r="I156">
        <f t="shared" si="44"/>
        <v>-6.1966723749199738E-2</v>
      </c>
      <c r="J156">
        <f t="shared" si="44"/>
        <v>6.237033072645809E-2</v>
      </c>
      <c r="K156">
        <f t="shared" si="44"/>
        <v>-1.3986241974739839E-2</v>
      </c>
      <c r="L156">
        <f t="shared" si="44"/>
        <v>0.12214794874108452</v>
      </c>
      <c r="M156">
        <f t="shared" si="44"/>
        <v>3.125254350410453E-2</v>
      </c>
      <c r="N156">
        <f t="shared" si="44"/>
        <v>-1.0695289116747919E-2</v>
      </c>
      <c r="O156">
        <f t="shared" si="44"/>
        <v>-1.2903404835907841E-2</v>
      </c>
      <c r="P156">
        <f t="shared" si="44"/>
        <v>2.7587956518828963E-2</v>
      </c>
      <c r="Q156">
        <f t="shared" si="44"/>
        <v>-1.8605187831034358E-2</v>
      </c>
      <c r="R156">
        <f t="shared" si="44"/>
        <v>0.10686314554236125</v>
      </c>
      <c r="S156">
        <f t="shared" si="44"/>
        <v>0</v>
      </c>
      <c r="T156">
        <f t="shared" si="44"/>
        <v>-4.1031396677862354E-2</v>
      </c>
      <c r="U156">
        <f t="shared" si="44"/>
        <v>-4.3963123421116058E-2</v>
      </c>
      <c r="V156">
        <f t="shared" si="44"/>
        <v>-7.5507552508145059E-2</v>
      </c>
      <c r="W156">
        <f t="shared" si="44"/>
        <v>8.0299942401642913E-2</v>
      </c>
      <c r="X156">
        <f t="shared" si="44"/>
        <v>-1.5748356968139282E-2</v>
      </c>
      <c r="Y156">
        <f t="shared" si="44"/>
        <v>3.8846451647054733E-2</v>
      </c>
      <c r="Z156">
        <f t="shared" si="44"/>
        <v>4.531519621204249E-2</v>
      </c>
      <c r="AA156">
        <f t="shared" si="44"/>
        <v>0</v>
      </c>
      <c r="AB156">
        <f t="shared" si="44"/>
        <v>1.4388737452099452E-2</v>
      </c>
      <c r="AC156">
        <f t="shared" si="44"/>
        <v>-1.3605652055778709E-2</v>
      </c>
      <c r="AD156">
        <f t="shared" si="44"/>
        <v>0.12177187221761618</v>
      </c>
      <c r="AE156">
        <f t="shared" si="44"/>
        <v>7.6842704942865603E-2</v>
      </c>
      <c r="AF156">
        <f t="shared" si="44"/>
        <v>5.1293294387550481E-2</v>
      </c>
      <c r="AG156">
        <f t="shared" si="44"/>
        <v>5.9898141581069014E-2</v>
      </c>
      <c r="AH156">
        <f t="shared" si="44"/>
        <v>-5.5569851154810765E-2</v>
      </c>
      <c r="AI156">
        <f t="shared" si="44"/>
        <v>8.0819406741708635E-2</v>
      </c>
      <c r="AJ156">
        <f t="shared" si="44"/>
        <v>4.5702153480855379E-2</v>
      </c>
      <c r="AK156">
        <f t="shared" si="44"/>
        <v>8.3916576362483807E-3</v>
      </c>
      <c r="AL156">
        <f t="shared" si="44"/>
        <v>0</v>
      </c>
      <c r="AM156">
        <f t="shared" si="44"/>
        <v>-4.662013105811413E-3</v>
      </c>
      <c r="AN156">
        <f t="shared" si="44"/>
        <v>5.8181955382735892E-2</v>
      </c>
      <c r="AO156">
        <f t="shared" si="44"/>
        <v>-7.1458963982144977E-2</v>
      </c>
      <c r="AP156">
        <f t="shared" si="44"/>
        <v>1.398624197473987E-2</v>
      </c>
      <c r="AQ156">
        <f t="shared" si="44"/>
        <v>2.6907452919924402E-2</v>
      </c>
      <c r="AR156">
        <f t="shared" si="44"/>
        <v>-6.6489741268832975E-2</v>
      </c>
      <c r="AS156">
        <f t="shared" si="44"/>
        <v>6.6006840313520927E-3</v>
      </c>
      <c r="AT156">
        <f t="shared" si="44"/>
        <v>2.7726620136836605E-2</v>
      </c>
    </row>
    <row r="157" spans="1:46">
      <c r="A157" s="283">
        <v>48</v>
      </c>
      <c r="B157" s="3">
        <v>41118</v>
      </c>
      <c r="C157">
        <f t="shared" ref="C157:AT157" si="45">LN(C103/C102)</f>
        <v>7.2570692834835374E-2</v>
      </c>
      <c r="D157">
        <f t="shared" si="45"/>
        <v>8.3881483980702026E-2</v>
      </c>
      <c r="E157">
        <f t="shared" si="45"/>
        <v>1.5873349156290163E-2</v>
      </c>
      <c r="F157">
        <f t="shared" si="45"/>
        <v>-1.7699577099400975E-2</v>
      </c>
      <c r="G157">
        <f t="shared" si="45"/>
        <v>0.14935738125497858</v>
      </c>
      <c r="H157">
        <f t="shared" si="45"/>
        <v>8.2013151660835074E-2</v>
      </c>
      <c r="I157">
        <f t="shared" si="45"/>
        <v>-9.5766905092008414E-2</v>
      </c>
      <c r="J157">
        <f t="shared" si="45"/>
        <v>3.653374333245607E-2</v>
      </c>
      <c r="K157">
        <f t="shared" si="45"/>
        <v>-0.18232155679395459</v>
      </c>
      <c r="L157">
        <f t="shared" si="45"/>
        <v>3.0877238564439229E-2</v>
      </c>
      <c r="M157">
        <f t="shared" si="45"/>
        <v>0</v>
      </c>
      <c r="N157">
        <f t="shared" si="45"/>
        <v>4.2111485350126848E-2</v>
      </c>
      <c r="O157">
        <f t="shared" si="45"/>
        <v>-0.1694181519580468</v>
      </c>
      <c r="P157">
        <f t="shared" si="45"/>
        <v>-0.10008345855698253</v>
      </c>
      <c r="Q157">
        <f t="shared" si="45"/>
        <v>8.9746287856275475E-2</v>
      </c>
      <c r="R157">
        <f t="shared" si="45"/>
        <v>-3.6701366850427929E-2</v>
      </c>
      <c r="S157">
        <f t="shared" si="45"/>
        <v>-2.4491020008295755E-2</v>
      </c>
      <c r="T157">
        <f t="shared" si="45"/>
        <v>1.5584731016698111E-2</v>
      </c>
      <c r="U157">
        <f t="shared" si="45"/>
        <v>-5.6338177182560199E-3</v>
      </c>
      <c r="V157">
        <f t="shared" si="45"/>
        <v>2.5807883955872721E-2</v>
      </c>
      <c r="W157">
        <f t="shared" si="45"/>
        <v>2.7398974188114347E-2</v>
      </c>
      <c r="X157">
        <f t="shared" si="45"/>
        <v>-4.0491361354736875E-2</v>
      </c>
      <c r="Y157">
        <f t="shared" si="45"/>
        <v>5.99801864855363E-3</v>
      </c>
      <c r="Z157">
        <f t="shared" si="45"/>
        <v>-2.564243061333767E-2</v>
      </c>
      <c r="AA157">
        <f t="shared" si="45"/>
        <v>1.7544309650909525E-2</v>
      </c>
      <c r="AB157">
        <f t="shared" si="45"/>
        <v>0.10821358464023279</v>
      </c>
      <c r="AC157">
        <f t="shared" si="45"/>
        <v>-2.0761991448429128E-2</v>
      </c>
      <c r="AD157">
        <f t="shared" si="45"/>
        <v>0.14776088172848725</v>
      </c>
      <c r="AE157">
        <f t="shared" si="45"/>
        <v>-9.9460793530638053E-2</v>
      </c>
      <c r="AF157">
        <f t="shared" si="45"/>
        <v>6.2305497506361628E-3</v>
      </c>
      <c r="AG157">
        <f t="shared" si="45"/>
        <v>3.9891329027302025E-2</v>
      </c>
      <c r="AH157">
        <f t="shared" si="45"/>
        <v>9.4787439545437387E-3</v>
      </c>
      <c r="AI157">
        <f t="shared" si="45"/>
        <v>3.3590944436035421E-2</v>
      </c>
      <c r="AJ157">
        <f t="shared" si="45"/>
        <v>5.0261834780888297E-2</v>
      </c>
      <c r="AK157">
        <f t="shared" si="45"/>
        <v>-0.10877084294387057</v>
      </c>
      <c r="AL157">
        <f t="shared" si="45"/>
        <v>-2.564243061333767E-2</v>
      </c>
      <c r="AM157">
        <f t="shared" si="45"/>
        <v>-8.277228628386292E-2</v>
      </c>
      <c r="AN157">
        <f t="shared" si="45"/>
        <v>1.2959144642505116E-2</v>
      </c>
      <c r="AO157">
        <f t="shared" si="45"/>
        <v>9.2166551049240476E-3</v>
      </c>
      <c r="AP157">
        <f t="shared" si="45"/>
        <v>6.920442844573757E-3</v>
      </c>
      <c r="AQ157">
        <f t="shared" si="45"/>
        <v>8.4796536660076846E-2</v>
      </c>
      <c r="AR157">
        <f t="shared" si="45"/>
        <v>-1.8928009885518911E-2</v>
      </c>
      <c r="AS157">
        <f t="shared" si="45"/>
        <v>-3.3447934067540132E-2</v>
      </c>
      <c r="AT157">
        <f t="shared" si="45"/>
        <v>-2.0413440603631932E-3</v>
      </c>
    </row>
    <row r="158" spans="1:46">
      <c r="A158" s="283">
        <v>49</v>
      </c>
      <c r="B158" s="3">
        <v>41149</v>
      </c>
      <c r="C158">
        <f t="shared" ref="C158:AT158" si="46">LN(C104/C103)</f>
        <v>6.2974799161388387E-2</v>
      </c>
      <c r="D158">
        <f t="shared" si="46"/>
        <v>1.142869582362285E-2</v>
      </c>
      <c r="E158">
        <f t="shared" si="46"/>
        <v>2.0779968491745435E-2</v>
      </c>
      <c r="F158">
        <f t="shared" si="46"/>
        <v>6.4219592734293798E-2</v>
      </c>
      <c r="G158">
        <f t="shared" si="46"/>
        <v>1.7857617400006472E-2</v>
      </c>
      <c r="H158">
        <f t="shared" si="46"/>
        <v>-7.9051795071132611E-3</v>
      </c>
      <c r="I158">
        <f t="shared" si="46"/>
        <v>0.109372557147787</v>
      </c>
      <c r="J158">
        <f t="shared" si="46"/>
        <v>-6.9633691758800756E-2</v>
      </c>
      <c r="K158">
        <f t="shared" si="46"/>
        <v>3.0515543925950413E-2</v>
      </c>
      <c r="L158">
        <f t="shared" si="46"/>
        <v>4.2981822573685033E-2</v>
      </c>
      <c r="M158">
        <f t="shared" si="46"/>
        <v>4.5120435280469433E-2</v>
      </c>
      <c r="N158">
        <f t="shared" si="46"/>
        <v>7.4476092901482827E-2</v>
      </c>
      <c r="O158">
        <f t="shared" si="46"/>
        <v>-2.3347363996991177E-2</v>
      </c>
      <c r="P158">
        <f t="shared" si="46"/>
        <v>2.2305757514298186E-2</v>
      </c>
      <c r="Q158">
        <f t="shared" si="46"/>
        <v>4.6129771727501157E-2</v>
      </c>
      <c r="R158">
        <f t="shared" si="46"/>
        <v>9.3609499122307538E-2</v>
      </c>
      <c r="S158">
        <f t="shared" si="46"/>
        <v>2.8515170308021233E-2</v>
      </c>
      <c r="T158">
        <f t="shared" si="46"/>
        <v>6.9679920637990014E-2</v>
      </c>
      <c r="U158">
        <f t="shared" si="46"/>
        <v>8.6540456331056462E-2</v>
      </c>
      <c r="V158">
        <f t="shared" si="46"/>
        <v>7.9552631701953688E-2</v>
      </c>
      <c r="W158">
        <f t="shared" si="46"/>
        <v>3.8296285077280327E-2</v>
      </c>
      <c r="X158">
        <f t="shared" si="46"/>
        <v>2.4491020008295911E-2</v>
      </c>
      <c r="Y158">
        <f t="shared" si="46"/>
        <v>0.10403072822782464</v>
      </c>
      <c r="Z158">
        <f t="shared" si="46"/>
        <v>7.5035185942914098E-2</v>
      </c>
      <c r="AA158">
        <f t="shared" si="46"/>
        <v>-8.7336799687545534E-3</v>
      </c>
      <c r="AB158">
        <f t="shared" si="46"/>
        <v>-3.9220713153281267E-2</v>
      </c>
      <c r="AC158">
        <f t="shared" si="46"/>
        <v>-3.559094510270263E-2</v>
      </c>
      <c r="AD158">
        <f t="shared" si="46"/>
        <v>-3.9220713153281267E-2</v>
      </c>
      <c r="AE158">
        <f t="shared" si="46"/>
        <v>-2.3141528561694377E-2</v>
      </c>
      <c r="AF158">
        <f t="shared" si="46"/>
        <v>3.6589447432292178E-2</v>
      </c>
      <c r="AG158">
        <f t="shared" si="46"/>
        <v>7.0109566187026531E-2</v>
      </c>
      <c r="AH158">
        <f t="shared" si="46"/>
        <v>2.7908788117076658E-2</v>
      </c>
      <c r="AI158">
        <f t="shared" si="46"/>
        <v>1.4903405502574948E-2</v>
      </c>
      <c r="AJ158">
        <f t="shared" si="46"/>
        <v>3.2626456348163694E-3</v>
      </c>
      <c r="AK158">
        <f t="shared" si="46"/>
        <v>0.13895146009386186</v>
      </c>
      <c r="AL158">
        <f t="shared" si="46"/>
        <v>5.0643732818754936E-2</v>
      </c>
      <c r="AM158">
        <f t="shared" si="46"/>
        <v>3.4916265106227883E-2</v>
      </c>
      <c r="AN158">
        <f t="shared" si="46"/>
        <v>0.15108036731400029</v>
      </c>
      <c r="AO158">
        <f t="shared" si="46"/>
        <v>3.6039936483196873E-2</v>
      </c>
      <c r="AP158">
        <f t="shared" si="46"/>
        <v>3.4423441909726986E-3</v>
      </c>
      <c r="AQ158">
        <f t="shared" si="46"/>
        <v>0.1222895777582743</v>
      </c>
      <c r="AR158">
        <f t="shared" si="46"/>
        <v>-1.9293202934678781E-2</v>
      </c>
      <c r="AS158">
        <f t="shared" si="46"/>
        <v>0.13946612814433712</v>
      </c>
      <c r="AT158">
        <f t="shared" si="46"/>
        <v>4.0043711530784599E-2</v>
      </c>
    </row>
    <row r="159" spans="1:46">
      <c r="A159" s="283">
        <v>50</v>
      </c>
      <c r="B159" s="3">
        <v>41180</v>
      </c>
      <c r="C159">
        <f t="shared" ref="C159:AT159" si="47">LN(C105/C104)</f>
        <v>4.6838493124264375E-3</v>
      </c>
      <c r="D159">
        <f t="shared" si="47"/>
        <v>0.1861022796338607</v>
      </c>
      <c r="E159">
        <f t="shared" si="47"/>
        <v>-2.5740039951728773E-3</v>
      </c>
      <c r="F159">
        <f t="shared" si="47"/>
        <v>2.8303776162851724E-2</v>
      </c>
      <c r="G159">
        <f t="shared" si="47"/>
        <v>4.3296805753324258E-2</v>
      </c>
      <c r="H159">
        <f t="shared" si="47"/>
        <v>-7.9681696491768449E-3</v>
      </c>
      <c r="I159">
        <f t="shared" si="47"/>
        <v>-0.12456272264176224</v>
      </c>
      <c r="J159">
        <f t="shared" si="47"/>
        <v>0.38604702225106285</v>
      </c>
      <c r="K159">
        <f t="shared" si="47"/>
        <v>1.6260520871780326E-2</v>
      </c>
      <c r="L159">
        <f t="shared" si="47"/>
        <v>5.9672331486398313E-2</v>
      </c>
      <c r="M159">
        <f t="shared" si="47"/>
        <v>0</v>
      </c>
      <c r="N159">
        <f t="shared" si="47"/>
        <v>0.1383046713771803</v>
      </c>
      <c r="O159">
        <f t="shared" si="47"/>
        <v>5.3652713492320002E-2</v>
      </c>
      <c r="P159">
        <f t="shared" si="47"/>
        <v>4.3172171865208782E-2</v>
      </c>
      <c r="Q159">
        <f t="shared" si="47"/>
        <v>5.385149481058895E-2</v>
      </c>
      <c r="R159">
        <f t="shared" si="47"/>
        <v>0.10109611687136881</v>
      </c>
      <c r="S159">
        <f t="shared" si="47"/>
        <v>6.2276929521514507E-2</v>
      </c>
      <c r="T159">
        <f t="shared" si="47"/>
        <v>4.7961722634930135E-3</v>
      </c>
      <c r="U159">
        <f t="shared" si="47"/>
        <v>9.8601976804539498E-2</v>
      </c>
      <c r="V159">
        <f t="shared" si="47"/>
        <v>5.7158413839948623E-2</v>
      </c>
      <c r="W159">
        <f t="shared" si="47"/>
        <v>5.3458578524767195E-2</v>
      </c>
      <c r="X159">
        <f t="shared" si="47"/>
        <v>3.174869831458027E-2</v>
      </c>
      <c r="Y159">
        <f t="shared" si="47"/>
        <v>9.1492340424665919E-2</v>
      </c>
      <c r="Z159">
        <f t="shared" si="47"/>
        <v>9.2018898720251999E-2</v>
      </c>
      <c r="AA159">
        <f t="shared" si="47"/>
        <v>4.2925044717033844E-2</v>
      </c>
      <c r="AB159">
        <f t="shared" si="47"/>
        <v>3.278982282299097E-2</v>
      </c>
      <c r="AC159">
        <f t="shared" si="47"/>
        <v>-4.4451762570833921E-2</v>
      </c>
      <c r="AD159">
        <f t="shared" si="47"/>
        <v>2.8170876966696224E-2</v>
      </c>
      <c r="AE159">
        <f t="shared" si="47"/>
        <v>8.3381608939051E-2</v>
      </c>
      <c r="AF159">
        <f t="shared" si="47"/>
        <v>-1.5083242211328476E-2</v>
      </c>
      <c r="AG159">
        <f t="shared" si="47"/>
        <v>1.0362787035546658E-2</v>
      </c>
      <c r="AH159">
        <f t="shared" si="47"/>
        <v>6.5111751305173743E-2</v>
      </c>
      <c r="AI159">
        <f t="shared" si="47"/>
        <v>0.1223747131235564</v>
      </c>
      <c r="AJ159">
        <f t="shared" si="47"/>
        <v>9.3235182765164612E-2</v>
      </c>
      <c r="AK159">
        <f t="shared" si="47"/>
        <v>7.0433275048920205E-2</v>
      </c>
      <c r="AL159">
        <f t="shared" si="47"/>
        <v>-1.2422519998557209E-2</v>
      </c>
      <c r="AM159">
        <f t="shared" si="47"/>
        <v>6.1777359696243157E-2</v>
      </c>
      <c r="AN159">
        <f t="shared" si="47"/>
        <v>-3.7598413557007548E-2</v>
      </c>
      <c r="AO159">
        <f t="shared" si="47"/>
        <v>6.0103924069705515E-2</v>
      </c>
      <c r="AP159">
        <f t="shared" si="47"/>
        <v>6.8493418455747683E-3</v>
      </c>
      <c r="AQ159">
        <f t="shared" si="47"/>
        <v>8.280590368423249E-2</v>
      </c>
      <c r="AR159">
        <f t="shared" si="47"/>
        <v>6.8992871486951421E-2</v>
      </c>
      <c r="AS159">
        <f t="shared" si="47"/>
        <v>7.4107972153721835E-2</v>
      </c>
      <c r="AT159">
        <f t="shared" si="47"/>
        <v>4.7384060773747801E-2</v>
      </c>
    </row>
    <row r="160" spans="1:46">
      <c r="A160" s="283">
        <v>51</v>
      </c>
      <c r="B160" s="3">
        <v>41210</v>
      </c>
      <c r="C160" s="60">
        <f t="shared" ref="C160:AT160" si="48">LN(C106/C105)</f>
        <v>-7.7708984327316252E-2</v>
      </c>
      <c r="D160" s="60">
        <f t="shared" si="48"/>
        <v>4.3083586136311698E-2</v>
      </c>
      <c r="E160" s="60">
        <f t="shared" si="48"/>
        <v>-0.10307218513981406</v>
      </c>
      <c r="F160" s="60">
        <f t="shared" si="48"/>
        <v>-4.6620131058113011E-3</v>
      </c>
      <c r="G160" s="60">
        <f t="shared" si="48"/>
        <v>-5.2185753170570191E-2</v>
      </c>
      <c r="H160" s="60">
        <f t="shared" si="48"/>
        <v>-7.4723546195936422E-2</v>
      </c>
      <c r="I160" s="60">
        <f t="shared" si="48"/>
        <v>-7.6824961720162819E-3</v>
      </c>
      <c r="J160" s="60">
        <f t="shared" si="48"/>
        <v>-0.24712155002087011</v>
      </c>
      <c r="K160" s="60">
        <f t="shared" si="48"/>
        <v>2.6845653706689828E-3</v>
      </c>
      <c r="L160" s="60">
        <f t="shared" si="48"/>
        <v>-6.2913825410569321E-2</v>
      </c>
      <c r="M160" s="60">
        <f t="shared" si="48"/>
        <v>-2.2305757514298051E-2</v>
      </c>
      <c r="N160" s="60">
        <f t="shared" si="48"/>
        <v>0.18232155679395459</v>
      </c>
      <c r="O160" s="60">
        <f t="shared" si="48"/>
        <v>5.0920090427256946E-2</v>
      </c>
      <c r="P160" s="60">
        <f t="shared" si="48"/>
        <v>0.11934675763256623</v>
      </c>
      <c r="Q160" s="60">
        <f t="shared" si="48"/>
        <v>9.2658830482704763E-2</v>
      </c>
      <c r="R160" s="60">
        <f t="shared" si="48"/>
        <v>3.0305349495328843E-2</v>
      </c>
      <c r="S160" s="60">
        <f t="shared" si="48"/>
        <v>5.8624843347523541E-2</v>
      </c>
      <c r="T160" s="60">
        <f t="shared" si="48"/>
        <v>5.1293294387550689E-2</v>
      </c>
      <c r="U160" s="60">
        <f t="shared" si="48"/>
        <v>-1.8957913744614158E-2</v>
      </c>
      <c r="V160" s="60">
        <f t="shared" si="48"/>
        <v>0.10536051565782635</v>
      </c>
      <c r="W160" s="60">
        <f t="shared" si="48"/>
        <v>-4.1964199099032193E-2</v>
      </c>
      <c r="X160" s="60">
        <f t="shared" si="48"/>
        <v>3.0771658666753472E-2</v>
      </c>
      <c r="Y160" s="60">
        <f t="shared" si="48"/>
        <v>-1.0989121575595206E-2</v>
      </c>
      <c r="Z160" s="60">
        <f t="shared" si="48"/>
        <v>-5.0715092579016338E-2</v>
      </c>
      <c r="AA160" s="60">
        <f t="shared" si="48"/>
        <v>8.8410957344052937E-2</v>
      </c>
      <c r="AB160" s="60">
        <f t="shared" si="48"/>
        <v>0.12136085700426753</v>
      </c>
      <c r="AC160" s="60">
        <f t="shared" si="48"/>
        <v>1.5037877364540502E-2</v>
      </c>
      <c r="AD160" s="60">
        <f t="shared" si="48"/>
        <v>8.5157808340306965E-2</v>
      </c>
      <c r="AE160" s="60">
        <f t="shared" si="48"/>
        <v>-4.0821994520255166E-2</v>
      </c>
      <c r="AF160" s="60">
        <f t="shared" si="48"/>
        <v>-4.9854560225218683E-2</v>
      </c>
      <c r="AG160" s="60">
        <f t="shared" si="48"/>
        <v>0.10742024862083691</v>
      </c>
      <c r="AH160" s="60">
        <f t="shared" si="48"/>
        <v>3.9330912062423541E-2</v>
      </c>
      <c r="AI160" s="60">
        <f t="shared" si="48"/>
        <v>9.4834102670838749E-2</v>
      </c>
      <c r="AJ160" s="60">
        <f t="shared" si="48"/>
        <v>-6.1181156475081162E-2</v>
      </c>
      <c r="AK160" s="60">
        <f t="shared" si="48"/>
        <v>0.12974589914504067</v>
      </c>
      <c r="AL160" s="60">
        <f t="shared" si="48"/>
        <v>2.4692612590371414E-2</v>
      </c>
      <c r="AM160" s="60">
        <f t="shared" si="48"/>
        <v>4.5052663940943143E-2</v>
      </c>
      <c r="AN160" s="60">
        <f t="shared" si="48"/>
        <v>3.8240964384034758E-3</v>
      </c>
      <c r="AO160" s="60">
        <f t="shared" si="48"/>
        <v>-1.6807118316381289E-2</v>
      </c>
      <c r="AP160" s="60">
        <f t="shared" si="48"/>
        <v>-3.826553807895372E-2</v>
      </c>
      <c r="AQ160" s="60">
        <f t="shared" si="48"/>
        <v>-4.7466537238923724E-2</v>
      </c>
      <c r="AR160" s="60">
        <f t="shared" si="48"/>
        <v>9.8061213176214732E-2</v>
      </c>
      <c r="AS160" s="60">
        <f t="shared" si="48"/>
        <v>5.4794657646257908E-3</v>
      </c>
      <c r="AT160" s="60">
        <f t="shared" si="48"/>
        <v>-2.2355455505720951E-2</v>
      </c>
    </row>
    <row r="161" spans="1:46">
      <c r="A161" s="283"/>
    </row>
    <row r="162" spans="1:46" ht="15.75" thickBot="1">
      <c r="A162" s="21">
        <v>1</v>
      </c>
      <c r="B162" s="21">
        <v>2</v>
      </c>
    </row>
    <row r="163" spans="1:46">
      <c r="A163" s="297" t="s">
        <v>47</v>
      </c>
      <c r="B163" s="298">
        <v>6</v>
      </c>
    </row>
    <row r="164" spans="1:46">
      <c r="A164" s="299" t="s">
        <v>48</v>
      </c>
      <c r="B164" s="300">
        <v>12</v>
      </c>
    </row>
    <row r="165" spans="1:46">
      <c r="A165" s="299" t="s">
        <v>50</v>
      </c>
      <c r="B165" s="300">
        <v>24</v>
      </c>
    </row>
    <row r="166" spans="1:46">
      <c r="A166" s="299" t="s">
        <v>49</v>
      </c>
      <c r="B166" s="300">
        <v>36</v>
      </c>
    </row>
    <row r="167" spans="1:46" ht="15.75" thickBot="1">
      <c r="A167" s="301" t="s">
        <v>150</v>
      </c>
      <c r="B167" s="302">
        <v>48</v>
      </c>
    </row>
    <row r="168" spans="1:46" ht="15.75" thickBot="1"/>
    <row r="169" spans="1:46" ht="15.75" thickBot="1">
      <c r="A169" s="26" t="str">
        <f>'Single Asset Return&amp;Risk'!H2</f>
        <v>Last Year</v>
      </c>
      <c r="B169" s="20">
        <f>VLOOKUP(A169,SELECTIONS_NO,2,FALSE)</f>
        <v>12</v>
      </c>
      <c r="C169" s="609" t="s">
        <v>74</v>
      </c>
      <c r="D169" s="610"/>
      <c r="E169" s="610"/>
      <c r="F169" s="610"/>
      <c r="G169" s="610"/>
      <c r="H169" s="610"/>
      <c r="I169" s="610"/>
      <c r="J169" s="610"/>
      <c r="K169" s="610"/>
      <c r="L169" s="610"/>
      <c r="M169" s="610"/>
      <c r="N169" s="610"/>
      <c r="O169" s="610"/>
      <c r="P169" s="610"/>
      <c r="Q169" s="610"/>
      <c r="R169" s="610"/>
      <c r="S169" s="610"/>
      <c r="T169" s="610"/>
      <c r="U169" s="610"/>
      <c r="V169" s="610"/>
      <c r="W169" s="610"/>
      <c r="X169" s="610"/>
      <c r="Y169" s="610"/>
      <c r="Z169" s="610"/>
      <c r="AA169" s="610"/>
      <c r="AB169" s="610"/>
      <c r="AC169" s="610"/>
      <c r="AD169" s="610"/>
      <c r="AE169" s="610"/>
      <c r="AF169" s="610"/>
      <c r="AG169" s="610"/>
      <c r="AH169" s="610"/>
      <c r="AI169" s="610"/>
      <c r="AJ169" s="610"/>
      <c r="AK169" s="610"/>
      <c r="AL169" s="610"/>
      <c r="AM169" s="610"/>
      <c r="AN169" s="610"/>
      <c r="AO169" s="610"/>
      <c r="AP169" s="610"/>
      <c r="AQ169" s="610"/>
      <c r="AR169" s="610"/>
      <c r="AS169" s="610"/>
      <c r="AT169" s="610"/>
    </row>
    <row r="170" spans="1:46">
      <c r="A170" s="78">
        <v>1</v>
      </c>
      <c r="C170" s="18" t="str">
        <f t="shared" ref="C170:AT170" si="49">C110</f>
        <v>ADVANC</v>
      </c>
      <c r="D170" s="18" t="str">
        <f t="shared" si="49"/>
        <v>AOT</v>
      </c>
      <c r="E170" s="18" t="str">
        <f t="shared" si="49"/>
        <v>BBL</v>
      </c>
      <c r="F170" s="18" t="str">
        <f t="shared" si="49"/>
        <v>BGH</v>
      </c>
      <c r="G170" s="18" t="str">
        <f t="shared" si="49"/>
        <v>BECL</v>
      </c>
      <c r="H170" s="18" t="str">
        <f t="shared" si="49"/>
        <v>BAY</v>
      </c>
      <c r="I170" s="18" t="str">
        <f t="shared" si="49"/>
        <v>BANPU</v>
      </c>
      <c r="J170" s="18" t="str">
        <f t="shared" si="49"/>
        <v>BEC</v>
      </c>
      <c r="K170" s="18" t="str">
        <f t="shared" si="49"/>
        <v>BIGC</v>
      </c>
      <c r="L170" s="18" t="str">
        <f t="shared" si="49"/>
        <v>BH</v>
      </c>
      <c r="M170" s="18" t="str">
        <f t="shared" si="49"/>
        <v>CCET</v>
      </c>
      <c r="N170" s="18" t="str">
        <f t="shared" si="49"/>
        <v>CPN</v>
      </c>
      <c r="O170" s="18" t="str">
        <f t="shared" si="49"/>
        <v>CPF</v>
      </c>
      <c r="P170" s="18" t="str">
        <f t="shared" si="49"/>
        <v>CPALL</v>
      </c>
      <c r="Q170" s="18" t="str">
        <f t="shared" si="49"/>
        <v>DELTA</v>
      </c>
      <c r="R170" s="18" t="str">
        <f t="shared" si="49"/>
        <v>EGCO</v>
      </c>
      <c r="S170" s="18" t="str">
        <f t="shared" si="49"/>
        <v>GLOW</v>
      </c>
      <c r="T170" s="18" t="str">
        <f t="shared" si="49"/>
        <v>HANA</v>
      </c>
      <c r="U170" s="18" t="str">
        <f t="shared" si="49"/>
        <v>IRPC</v>
      </c>
      <c r="V170" s="18" t="str">
        <f t="shared" si="49"/>
        <v>ITD</v>
      </c>
      <c r="W170" s="18" t="str">
        <f t="shared" si="49"/>
        <v>KBANK</v>
      </c>
      <c r="X170" s="18" t="str">
        <f t="shared" si="49"/>
        <v>KSL</v>
      </c>
      <c r="Y170" s="18" t="str">
        <f t="shared" si="49"/>
        <v>KTB</v>
      </c>
      <c r="Z170" s="18" t="str">
        <f t="shared" si="49"/>
        <v>LH</v>
      </c>
      <c r="AA170" s="18" t="str">
        <f t="shared" si="49"/>
        <v>MCOT</v>
      </c>
      <c r="AB170" s="18" t="str">
        <f t="shared" si="49"/>
        <v>MINT</v>
      </c>
      <c r="AC170" s="18" t="str">
        <f t="shared" si="49"/>
        <v>PSL</v>
      </c>
      <c r="AD170" s="18" t="str">
        <f t="shared" si="49"/>
        <v>PS</v>
      </c>
      <c r="AE170" s="18" t="str">
        <f t="shared" si="49"/>
        <v>PTTEP</v>
      </c>
      <c r="AF170" s="18" t="str">
        <f t="shared" si="49"/>
        <v>PTT</v>
      </c>
      <c r="AG170" s="18" t="str">
        <f t="shared" si="49"/>
        <v>RATCH</v>
      </c>
      <c r="AH170" s="18" t="str">
        <f t="shared" si="49"/>
        <v>SCC</v>
      </c>
      <c r="AI170" s="18" t="str">
        <f t="shared" si="49"/>
        <v>SCCC</v>
      </c>
      <c r="AJ170" s="18" t="str">
        <f t="shared" si="49"/>
        <v>SCB</v>
      </c>
      <c r="AK170" s="18" t="str">
        <f t="shared" si="49"/>
        <v>MAKRO</v>
      </c>
      <c r="AL170" s="18" t="str">
        <f t="shared" si="49"/>
        <v>TSTH</v>
      </c>
      <c r="AM170" s="18" t="str">
        <f t="shared" si="49"/>
        <v>THAI</v>
      </c>
      <c r="AN170" s="18" t="str">
        <f t="shared" si="49"/>
        <v>TOP</v>
      </c>
      <c r="AO170" s="18" t="str">
        <f t="shared" si="49"/>
        <v>TPC</v>
      </c>
      <c r="AP170" s="18" t="str">
        <f t="shared" si="49"/>
        <v>TUF</v>
      </c>
      <c r="AQ170" s="18" t="str">
        <f t="shared" si="49"/>
        <v>TCAP</v>
      </c>
      <c r="AR170" s="18" t="str">
        <f t="shared" si="49"/>
        <v xml:space="preserve">TTA </v>
      </c>
      <c r="AS170" s="18" t="str">
        <f t="shared" si="49"/>
        <v>TMB</v>
      </c>
      <c r="AT170" s="18" t="str">
        <f t="shared" si="49"/>
        <v>SET50</v>
      </c>
    </row>
    <row r="171" spans="1:46">
      <c r="A171" s="78">
        <v>2</v>
      </c>
      <c r="B171" s="43" t="s">
        <v>59</v>
      </c>
      <c r="C171" s="28">
        <f t="shared" ref="C171:AT171" ca="1" si="50">AVERAGE(OFFSET(C$160,0,0,-NO_OBS_SA,1))</f>
        <v>3.8329441116019512E-2</v>
      </c>
      <c r="D171" s="28">
        <f t="shared" ca="1" si="50"/>
        <v>6.4558087293671101E-2</v>
      </c>
      <c r="E171" s="28">
        <f t="shared" ca="1" si="50"/>
        <v>1.368341797339667E-2</v>
      </c>
      <c r="F171" s="28">
        <f t="shared" ca="1" si="50"/>
        <v>3.9322878098462251E-2</v>
      </c>
      <c r="G171" s="28">
        <f t="shared" ca="1" si="50"/>
        <v>4.4070344105722435E-2</v>
      </c>
      <c r="H171" s="28">
        <f t="shared" ca="1" si="50"/>
        <v>3.0963629702706923E-2</v>
      </c>
      <c r="I171" s="28">
        <f t="shared" ca="1" si="50"/>
        <v>-3.926598908538128E-2</v>
      </c>
      <c r="J171" s="28">
        <f t="shared" ca="1" si="50"/>
        <v>3.8819021486271289E-2</v>
      </c>
      <c r="K171" s="28">
        <f t="shared" ca="1" si="50"/>
        <v>4.3617976510505245E-2</v>
      </c>
      <c r="L171" s="28">
        <f t="shared" ca="1" si="50"/>
        <v>5.5099631729445236E-2</v>
      </c>
      <c r="M171" s="28">
        <f t="shared" ca="1" si="50"/>
        <v>1.2845889985604873E-2</v>
      </c>
      <c r="N171" s="28">
        <f t="shared" ca="1" si="50"/>
        <v>6.5013213129131234E-2</v>
      </c>
      <c r="O171" s="28">
        <f t="shared" ca="1" si="50"/>
        <v>1.3439012299676858E-2</v>
      </c>
      <c r="P171" s="28">
        <f t="shared" ca="1" si="50"/>
        <v>4.5645748155882397E-2</v>
      </c>
      <c r="Q171" s="28">
        <f t="shared" ca="1" si="50"/>
        <v>3.5276893792347573E-2</v>
      </c>
      <c r="R171" s="28">
        <f t="shared" ca="1" si="50"/>
        <v>3.9416097341175127E-2</v>
      </c>
      <c r="S171" s="28">
        <f t="shared" ca="1" si="50"/>
        <v>2.4668368114077882E-2</v>
      </c>
      <c r="T171" s="28">
        <f t="shared" ca="1" si="50"/>
        <v>2.4480093210680301E-2</v>
      </c>
      <c r="U171" s="28">
        <f t="shared" ca="1" si="50"/>
        <v>4.9275436022351822E-3</v>
      </c>
      <c r="V171" s="28">
        <f t="shared" ca="1" si="50"/>
        <v>6.0475577362363005E-3</v>
      </c>
      <c r="W171" s="28">
        <f t="shared" ca="1" si="50"/>
        <v>2.9383468212591343E-2</v>
      </c>
      <c r="X171" s="28">
        <f t="shared" ca="1" si="50"/>
        <v>9.343108176725479E-3</v>
      </c>
      <c r="Y171" s="28">
        <f t="shared" ca="1" si="50"/>
        <v>1.7452159590450902E-2</v>
      </c>
      <c r="Z171" s="28">
        <f t="shared" ca="1" si="50"/>
        <v>3.6980116098787069E-2</v>
      </c>
      <c r="AA171" s="28">
        <f t="shared" ca="1" si="50"/>
        <v>2.1863688705624256E-2</v>
      </c>
      <c r="AB171" s="28">
        <f t="shared" ca="1" si="50"/>
        <v>5.0471643869735773E-2</v>
      </c>
      <c r="AC171" s="28">
        <f t="shared" ca="1" si="50"/>
        <v>-8.281039484433662E-3</v>
      </c>
      <c r="AD171" s="28">
        <f t="shared" ca="1" si="50"/>
        <v>4.8897231416781116E-2</v>
      </c>
      <c r="AE171" s="28">
        <f t="shared" ca="1" si="50"/>
        <v>-3.6578494631021243E-3</v>
      </c>
      <c r="AF171" s="28">
        <f t="shared" ca="1" si="50"/>
        <v>2.6666689422258247E-4</v>
      </c>
      <c r="AG171" s="28">
        <f t="shared" ca="1" si="50"/>
        <v>2.3973506037648418E-2</v>
      </c>
      <c r="AH171" s="28">
        <f t="shared" ca="1" si="50"/>
        <v>1.1819182953268129E-2</v>
      </c>
      <c r="AI171" s="28">
        <f t="shared" ca="1" si="50"/>
        <v>4.9459778300925294E-2</v>
      </c>
      <c r="AJ171" s="28">
        <f t="shared" ca="1" si="50"/>
        <v>2.4589164070972547E-2</v>
      </c>
      <c r="AK171" s="28">
        <f t="shared" ca="1" si="50"/>
        <v>6.3881220759563512E-2</v>
      </c>
      <c r="AL171" s="28">
        <f t="shared" ca="1" si="50"/>
        <v>-2.0081292982550465E-3</v>
      </c>
      <c r="AM171" s="28">
        <f t="shared" ca="1" si="50"/>
        <v>1.3954553787801754E-2</v>
      </c>
      <c r="AN171" s="28">
        <f t="shared" ca="1" si="50"/>
        <v>9.4186157002829618E-3</v>
      </c>
      <c r="AO171" s="28">
        <f t="shared" ca="1" si="50"/>
        <v>2.1104446065465018E-2</v>
      </c>
      <c r="AP171" s="28">
        <f t="shared" ca="1" si="50"/>
        <v>2.7260498196617609E-2</v>
      </c>
      <c r="AQ171" s="28">
        <f t="shared" ca="1" si="50"/>
        <v>3.1392974568514885E-2</v>
      </c>
      <c r="AR171" s="28">
        <f t="shared" ca="1" si="50"/>
        <v>1.6114282748378294E-2</v>
      </c>
      <c r="AS171" s="28">
        <f t="shared" ca="1" si="50"/>
        <v>2.5350947866915968E-2</v>
      </c>
      <c r="AT171" s="28">
        <f t="shared" ca="1" si="50"/>
        <v>1.8787033651459804E-2</v>
      </c>
    </row>
    <row r="172" spans="1:46">
      <c r="A172" s="80">
        <v>3</v>
      </c>
      <c r="B172" s="81" t="s">
        <v>61</v>
      </c>
      <c r="C172" s="79">
        <f ca="1">C171*12</f>
        <v>0.45995329339223412</v>
      </c>
      <c r="D172" s="79">
        <f t="shared" ref="D172:AT172" ca="1" si="51">D171*12</f>
        <v>0.77469704752405322</v>
      </c>
      <c r="E172" s="79">
        <f t="shared" ca="1" si="51"/>
        <v>0.16420101568076004</v>
      </c>
      <c r="F172" s="79">
        <f t="shared" ca="1" si="51"/>
        <v>0.47187453718154704</v>
      </c>
      <c r="G172" s="79">
        <f t="shared" ca="1" si="51"/>
        <v>0.52884412926866919</v>
      </c>
      <c r="H172" s="79">
        <f t="shared" ca="1" si="51"/>
        <v>0.37156355643248307</v>
      </c>
      <c r="I172" s="79">
        <f t="shared" ca="1" si="51"/>
        <v>-0.47119186902457533</v>
      </c>
      <c r="J172" s="79">
        <f t="shared" ca="1" si="51"/>
        <v>0.4658282578352555</v>
      </c>
      <c r="K172" s="79">
        <f t="shared" ca="1" si="51"/>
        <v>0.52341571812606291</v>
      </c>
      <c r="L172" s="79">
        <f t="shared" ca="1" si="51"/>
        <v>0.66119558075334284</v>
      </c>
      <c r="M172" s="79">
        <f t="shared" ca="1" si="51"/>
        <v>0.15415067982725847</v>
      </c>
      <c r="N172" s="79">
        <f t="shared" ca="1" si="51"/>
        <v>0.78015855754957486</v>
      </c>
      <c r="O172" s="79">
        <f t="shared" ca="1" si="51"/>
        <v>0.16126814759612229</v>
      </c>
      <c r="P172" s="79">
        <f t="shared" ca="1" si="51"/>
        <v>0.54774897787058874</v>
      </c>
      <c r="Q172" s="79">
        <f t="shared" ca="1" si="51"/>
        <v>0.42332272550817085</v>
      </c>
      <c r="R172" s="79">
        <f t="shared" ca="1" si="51"/>
        <v>0.47299316809410152</v>
      </c>
      <c r="S172" s="79">
        <f t="shared" ca="1" si="51"/>
        <v>0.29602041736893459</v>
      </c>
      <c r="T172" s="79">
        <f t="shared" ca="1" si="51"/>
        <v>0.29376111852816361</v>
      </c>
      <c r="U172" s="79">
        <f t="shared" ca="1" si="51"/>
        <v>5.913052322682219E-2</v>
      </c>
      <c r="V172" s="79">
        <f t="shared" ca="1" si="51"/>
        <v>7.257069283483561E-2</v>
      </c>
      <c r="W172" s="79">
        <f t="shared" ca="1" si="51"/>
        <v>0.35260161855109612</v>
      </c>
      <c r="X172" s="79">
        <f t="shared" ca="1" si="51"/>
        <v>0.11211729812070576</v>
      </c>
      <c r="Y172" s="79">
        <f t="shared" ca="1" si="51"/>
        <v>0.20942591508541081</v>
      </c>
      <c r="Z172" s="79">
        <f t="shared" ca="1" si="51"/>
        <v>0.44376139318544483</v>
      </c>
      <c r="AA172" s="79">
        <f t="shared" ca="1" si="51"/>
        <v>0.26236426446749106</v>
      </c>
      <c r="AB172" s="79">
        <f t="shared" ca="1" si="51"/>
        <v>0.6056597264368293</v>
      </c>
      <c r="AC172" s="79">
        <f t="shared" ca="1" si="51"/>
        <v>-9.9372473813203938E-2</v>
      </c>
      <c r="AD172" s="79">
        <f t="shared" ca="1" si="51"/>
        <v>0.58676677700137336</v>
      </c>
      <c r="AE172" s="79">
        <f t="shared" ca="1" si="51"/>
        <v>-4.3894193557225493E-2</v>
      </c>
      <c r="AF172" s="79">
        <f t="shared" ca="1" si="51"/>
        <v>3.2000027306709894E-3</v>
      </c>
      <c r="AG172" s="79">
        <f t="shared" ca="1" si="51"/>
        <v>0.28768207245178101</v>
      </c>
      <c r="AH172" s="79">
        <f t="shared" ca="1" si="51"/>
        <v>0.14183019543921754</v>
      </c>
      <c r="AI172" s="79">
        <f t="shared" ca="1" si="51"/>
        <v>0.59351733961110353</v>
      </c>
      <c r="AJ172" s="79">
        <f t="shared" ca="1" si="51"/>
        <v>0.29506996885167058</v>
      </c>
      <c r="AK172" s="79">
        <f t="shared" ca="1" si="51"/>
        <v>0.76657464911476214</v>
      </c>
      <c r="AL172" s="79">
        <f t="shared" ca="1" si="51"/>
        <v>-2.4097551579060558E-2</v>
      </c>
      <c r="AM172" s="79">
        <f t="shared" ca="1" si="51"/>
        <v>0.16745464545362104</v>
      </c>
      <c r="AN172" s="79">
        <f t="shared" ca="1" si="51"/>
        <v>0.11302338840339554</v>
      </c>
      <c r="AO172" s="79">
        <f t="shared" ca="1" si="51"/>
        <v>0.2532533527855802</v>
      </c>
      <c r="AP172" s="79">
        <f t="shared" ca="1" si="51"/>
        <v>0.32712597835941132</v>
      </c>
      <c r="AQ172" s="79">
        <f t="shared" ca="1" si="51"/>
        <v>0.37671569482217859</v>
      </c>
      <c r="AR172" s="79">
        <f t="shared" ca="1" si="51"/>
        <v>0.19337139298053951</v>
      </c>
      <c r="AS172" s="79">
        <f t="shared" ca="1" si="51"/>
        <v>0.30421137440299162</v>
      </c>
      <c r="AT172" s="79">
        <f t="shared" ca="1" si="51"/>
        <v>0.22544440381751765</v>
      </c>
    </row>
    <row r="175" spans="1:46">
      <c r="A175" s="613" t="s">
        <v>84</v>
      </c>
      <c r="B175" s="613"/>
      <c r="C175" s="611" t="s">
        <v>75</v>
      </c>
      <c r="D175" s="612"/>
      <c r="E175" s="612"/>
      <c r="F175" s="612"/>
      <c r="G175" s="612"/>
      <c r="H175" s="612"/>
      <c r="I175" s="612"/>
      <c r="J175" s="612"/>
      <c r="K175" s="612"/>
      <c r="L175" s="612"/>
      <c r="M175" s="612"/>
      <c r="N175" s="612"/>
      <c r="O175" s="612"/>
      <c r="P175" s="612"/>
      <c r="Q175" s="612"/>
      <c r="R175" s="612"/>
      <c r="S175" s="612"/>
      <c r="T175" s="612"/>
      <c r="U175" s="612"/>
      <c r="V175" s="612"/>
      <c r="W175" s="612"/>
      <c r="X175" s="612"/>
      <c r="Y175" s="612"/>
      <c r="Z175" s="612"/>
      <c r="AA175" s="612"/>
      <c r="AB175" s="612"/>
      <c r="AC175" s="612"/>
      <c r="AD175" s="612"/>
      <c r="AE175" s="612"/>
      <c r="AF175" s="612"/>
      <c r="AG175" s="612"/>
      <c r="AH175" s="612"/>
      <c r="AI175" s="612"/>
      <c r="AJ175" s="612"/>
      <c r="AK175" s="612"/>
      <c r="AL175" s="612"/>
      <c r="AM175" s="612"/>
      <c r="AN175" s="612"/>
      <c r="AO175" s="612"/>
      <c r="AP175" s="612"/>
      <c r="AQ175" s="612"/>
      <c r="AR175" s="612"/>
      <c r="AS175" s="612"/>
      <c r="AT175" s="612"/>
    </row>
    <row r="176" spans="1:46">
      <c r="A176" s="78">
        <v>1</v>
      </c>
      <c r="C176" s="18" t="str">
        <f>C170</f>
        <v>ADVANC</v>
      </c>
      <c r="D176" s="18" t="str">
        <f t="shared" ref="D176:AT176" si="52">D170</f>
        <v>AOT</v>
      </c>
      <c r="E176" s="18" t="str">
        <f t="shared" si="52"/>
        <v>BBL</v>
      </c>
      <c r="F176" s="18" t="str">
        <f t="shared" si="52"/>
        <v>BGH</v>
      </c>
      <c r="G176" s="18" t="str">
        <f t="shared" si="52"/>
        <v>BECL</v>
      </c>
      <c r="H176" s="18" t="str">
        <f t="shared" si="52"/>
        <v>BAY</v>
      </c>
      <c r="I176" s="18" t="str">
        <f t="shared" si="52"/>
        <v>BANPU</v>
      </c>
      <c r="J176" s="18" t="str">
        <f t="shared" si="52"/>
        <v>BEC</v>
      </c>
      <c r="K176" s="18" t="str">
        <f t="shared" si="52"/>
        <v>BIGC</v>
      </c>
      <c r="L176" s="18" t="str">
        <f t="shared" si="52"/>
        <v>BH</v>
      </c>
      <c r="M176" s="18" t="str">
        <f t="shared" si="52"/>
        <v>CCET</v>
      </c>
      <c r="N176" s="18" t="str">
        <f t="shared" si="52"/>
        <v>CPN</v>
      </c>
      <c r="O176" s="18" t="str">
        <f t="shared" si="52"/>
        <v>CPF</v>
      </c>
      <c r="P176" s="18" t="str">
        <f t="shared" si="52"/>
        <v>CPALL</v>
      </c>
      <c r="Q176" s="18" t="str">
        <f t="shared" si="52"/>
        <v>DELTA</v>
      </c>
      <c r="R176" s="18" t="str">
        <f t="shared" si="52"/>
        <v>EGCO</v>
      </c>
      <c r="S176" s="18" t="str">
        <f t="shared" si="52"/>
        <v>GLOW</v>
      </c>
      <c r="T176" s="18" t="str">
        <f t="shared" si="52"/>
        <v>HANA</v>
      </c>
      <c r="U176" s="18" t="str">
        <f t="shared" si="52"/>
        <v>IRPC</v>
      </c>
      <c r="V176" s="18" t="str">
        <f t="shared" si="52"/>
        <v>ITD</v>
      </c>
      <c r="W176" s="18" t="str">
        <f t="shared" si="52"/>
        <v>KBANK</v>
      </c>
      <c r="X176" s="18" t="str">
        <f t="shared" si="52"/>
        <v>KSL</v>
      </c>
      <c r="Y176" s="18" t="str">
        <f t="shared" si="52"/>
        <v>KTB</v>
      </c>
      <c r="Z176" s="18" t="str">
        <f t="shared" si="52"/>
        <v>LH</v>
      </c>
      <c r="AA176" s="18" t="str">
        <f t="shared" si="52"/>
        <v>MCOT</v>
      </c>
      <c r="AB176" s="18" t="str">
        <f t="shared" si="52"/>
        <v>MINT</v>
      </c>
      <c r="AC176" s="18" t="str">
        <f t="shared" si="52"/>
        <v>PSL</v>
      </c>
      <c r="AD176" s="18" t="str">
        <f t="shared" si="52"/>
        <v>PS</v>
      </c>
      <c r="AE176" s="18" t="str">
        <f t="shared" si="52"/>
        <v>PTTEP</v>
      </c>
      <c r="AF176" s="18" t="str">
        <f t="shared" si="52"/>
        <v>PTT</v>
      </c>
      <c r="AG176" s="18" t="str">
        <f t="shared" si="52"/>
        <v>RATCH</v>
      </c>
      <c r="AH176" s="18" t="str">
        <f t="shared" si="52"/>
        <v>SCC</v>
      </c>
      <c r="AI176" s="18" t="str">
        <f t="shared" si="52"/>
        <v>SCCC</v>
      </c>
      <c r="AJ176" s="18" t="str">
        <f t="shared" si="52"/>
        <v>SCB</v>
      </c>
      <c r="AK176" s="18" t="str">
        <f t="shared" si="52"/>
        <v>MAKRO</v>
      </c>
      <c r="AL176" s="18" t="str">
        <f t="shared" si="52"/>
        <v>TSTH</v>
      </c>
      <c r="AM176" s="18" t="str">
        <f t="shared" si="52"/>
        <v>THAI</v>
      </c>
      <c r="AN176" s="18" t="str">
        <f t="shared" si="52"/>
        <v>TOP</v>
      </c>
      <c r="AO176" s="18" t="str">
        <f t="shared" si="52"/>
        <v>TPC</v>
      </c>
      <c r="AP176" s="18" t="str">
        <f t="shared" si="52"/>
        <v>TUF</v>
      </c>
      <c r="AQ176" s="18" t="str">
        <f t="shared" si="52"/>
        <v>TCAP</v>
      </c>
      <c r="AR176" s="18" t="str">
        <f t="shared" si="52"/>
        <v xml:space="preserve">TTA </v>
      </c>
      <c r="AS176" s="18" t="str">
        <f t="shared" si="52"/>
        <v>TMB</v>
      </c>
      <c r="AT176" s="18" t="str">
        <f t="shared" si="52"/>
        <v>SET50</v>
      </c>
    </row>
    <row r="177" spans="1:46">
      <c r="A177" s="80">
        <v>2</v>
      </c>
      <c r="B177" s="95" t="s">
        <v>59</v>
      </c>
      <c r="C177" s="96">
        <f>AVERAGE(C112:C160)</f>
        <v>2.0085753826333989E-2</v>
      </c>
      <c r="D177" s="96">
        <f t="shared" ref="D177:AT177" si="53">AVERAGE(D112:D160)</f>
        <v>1.8669098789688462E-2</v>
      </c>
      <c r="E177" s="96">
        <f>AVERAGE(E112:E160)</f>
        <v>1.0231568975743814E-2</v>
      </c>
      <c r="F177" s="96">
        <f t="shared" si="53"/>
        <v>2.463454962575877E-2</v>
      </c>
      <c r="G177" s="96">
        <f t="shared" si="53"/>
        <v>1.0425012729918181E-2</v>
      </c>
      <c r="H177" s="96">
        <f t="shared" si="53"/>
        <v>1.0425012729918182E-2</v>
      </c>
      <c r="I177" s="96">
        <f t="shared" si="53"/>
        <v>3.4430144151426493E-3</v>
      </c>
      <c r="J177" s="96">
        <f t="shared" si="53"/>
        <v>2.1535024573558135E-2</v>
      </c>
      <c r="K177" s="96">
        <f t="shared" si="53"/>
        <v>2.9474318472767536E-2</v>
      </c>
      <c r="L177" s="96">
        <f t="shared" si="53"/>
        <v>1.72917930691266E-2</v>
      </c>
      <c r="M177" s="96">
        <f t="shared" si="53"/>
        <v>-5.6007519530971396E-3</v>
      </c>
      <c r="N177" s="96">
        <f t="shared" si="53"/>
        <v>2.910121668392494E-2</v>
      </c>
      <c r="O177" s="96">
        <f t="shared" si="53"/>
        <v>4.4007521241677686E-2</v>
      </c>
      <c r="P177" s="96">
        <f t="shared" si="53"/>
        <v>4.0866948990687928E-2</v>
      </c>
      <c r="Q177" s="96">
        <f t="shared" si="53"/>
        <v>1.1858847297133233E-2</v>
      </c>
      <c r="R177" s="96">
        <f t="shared" si="53"/>
        <v>1.4764337348066821E-2</v>
      </c>
      <c r="S177" s="96">
        <f t="shared" si="53"/>
        <v>1.859116021676336E-2</v>
      </c>
      <c r="T177" s="96">
        <f t="shared" si="53"/>
        <v>7.8161684133899248E-3</v>
      </c>
      <c r="U177" s="96">
        <f t="shared" si="53"/>
        <v>2.9506292194346099E-4</v>
      </c>
      <c r="V177" s="96">
        <f t="shared" si="53"/>
        <v>-3.0384923456632526E-4</v>
      </c>
      <c r="W177" s="96">
        <f t="shared" si="53"/>
        <v>2.0369811226975253E-2</v>
      </c>
      <c r="X177" s="96">
        <f t="shared" si="53"/>
        <v>7.4788357205080661E-3</v>
      </c>
      <c r="Y177" s="96">
        <f t="shared" si="53"/>
        <v>2.2465809774511243E-2</v>
      </c>
      <c r="Z177" s="96">
        <f t="shared" si="53"/>
        <v>6.1481904199624897E-3</v>
      </c>
      <c r="AA177" s="96">
        <f t="shared" si="53"/>
        <v>9.206252838048332E-3</v>
      </c>
      <c r="AB177" s="96">
        <f t="shared" si="53"/>
        <v>1.0877017489571462E-2</v>
      </c>
      <c r="AC177" s="96">
        <f t="shared" si="53"/>
        <v>-3.1023715775229791E-3</v>
      </c>
      <c r="AD177" s="96">
        <f t="shared" si="53"/>
        <v>2.0296491783058951E-2</v>
      </c>
      <c r="AE177" s="96">
        <f t="shared" si="53"/>
        <v>2.8000228880303043E-3</v>
      </c>
      <c r="AF177" s="96">
        <f t="shared" si="53"/>
        <v>5.7626813370314865E-3</v>
      </c>
      <c r="AG177" s="96">
        <f t="shared" si="53"/>
        <v>8.2747981246564118E-3</v>
      </c>
      <c r="AH177" s="96">
        <f t="shared" si="53"/>
        <v>2.0338021108447731E-2</v>
      </c>
      <c r="AI177" s="96">
        <f t="shared" si="53"/>
        <v>1.8821650997156297E-2</v>
      </c>
      <c r="AJ177" s="96">
        <f t="shared" si="53"/>
        <v>1.653350782651249E-2</v>
      </c>
      <c r="AK177" s="96">
        <f t="shared" si="53"/>
        <v>3.4588603510931286E-2</v>
      </c>
      <c r="AL177" s="96">
        <f t="shared" si="53"/>
        <v>-1.3769084035106322E-2</v>
      </c>
      <c r="AM177" s="96">
        <f t="shared" si="53"/>
        <v>1.2176250615900032E-2</v>
      </c>
      <c r="AN177" s="96">
        <f t="shared" si="53"/>
        <v>8.2358883640322959E-3</v>
      </c>
      <c r="AO177" s="96">
        <f t="shared" si="53"/>
        <v>9.9689454096733403E-3</v>
      </c>
      <c r="AP177" s="96">
        <f t="shared" si="53"/>
        <v>2.7602941247503072E-2</v>
      </c>
      <c r="AQ177" s="96">
        <f t="shared" si="53"/>
        <v>2.4382778555530872E-2</v>
      </c>
      <c r="AR177" s="96">
        <f t="shared" si="53"/>
        <v>-6.1079644930159271E-3</v>
      </c>
      <c r="AS177" s="96">
        <f t="shared" si="53"/>
        <v>1.1532556197960172E-2</v>
      </c>
      <c r="AT177" s="96">
        <f t="shared" si="53"/>
        <v>1.4063169996233109E-2</v>
      </c>
    </row>
    <row r="178" spans="1:46">
      <c r="A178" s="78">
        <v>3</v>
      </c>
      <c r="B178" s="39" t="s">
        <v>302</v>
      </c>
      <c r="C178" s="27">
        <f>STDEV(C112:C160)</f>
        <v>6.6625821485111175E-2</v>
      </c>
      <c r="D178" s="27">
        <f t="shared" ref="D178:AT178" si="54">STDEV(D112:D160)</f>
        <v>0.15057866391632271</v>
      </c>
      <c r="E178" s="27">
        <f t="shared" si="54"/>
        <v>0.10332278685673789</v>
      </c>
      <c r="F178" s="27">
        <f t="shared" si="54"/>
        <v>0.11005295211775384</v>
      </c>
      <c r="G178" s="27">
        <f t="shared" si="54"/>
        <v>8.2405401961266764E-2</v>
      </c>
      <c r="H178" s="27">
        <f t="shared" si="54"/>
        <v>0.12139099787611966</v>
      </c>
      <c r="I178" s="27">
        <f t="shared" si="54"/>
        <v>0.15302953561168084</v>
      </c>
      <c r="J178" s="27">
        <f t="shared" si="54"/>
        <v>0.11235487075853762</v>
      </c>
      <c r="K178" s="27">
        <f t="shared" si="54"/>
        <v>0.10597516572932794</v>
      </c>
      <c r="L178" s="27">
        <f t="shared" si="54"/>
        <v>9.801588741540869E-2</v>
      </c>
      <c r="M178" s="27">
        <f t="shared" si="54"/>
        <v>0.15563983774462675</v>
      </c>
      <c r="N178" s="27">
        <f t="shared" si="54"/>
        <v>0.15715540395109998</v>
      </c>
      <c r="O178" s="27">
        <f t="shared" si="54"/>
        <v>0.1055337535188992</v>
      </c>
      <c r="P178" s="27">
        <f t="shared" si="54"/>
        <v>0.10191940760468424</v>
      </c>
      <c r="Q178" s="27">
        <f t="shared" si="54"/>
        <v>0.12190512152479444</v>
      </c>
      <c r="R178" s="27">
        <f t="shared" si="54"/>
        <v>6.0546754009642503E-2</v>
      </c>
      <c r="S178" s="27">
        <f t="shared" si="54"/>
        <v>9.3421075233213607E-2</v>
      </c>
      <c r="T178" s="27">
        <f t="shared" si="54"/>
        <v>0.10919162974370823</v>
      </c>
      <c r="U178" s="27">
        <f t="shared" si="54"/>
        <v>0.15506176284670334</v>
      </c>
      <c r="V178" s="27">
        <f t="shared" si="54"/>
        <v>0.16110160455913919</v>
      </c>
      <c r="W178" s="27">
        <f t="shared" si="54"/>
        <v>8.2541161582346131E-2</v>
      </c>
      <c r="X178" s="27">
        <f t="shared" si="54"/>
        <v>0.12325069512994877</v>
      </c>
      <c r="Y178" s="27">
        <f t="shared" si="54"/>
        <v>0.12227936279962182</v>
      </c>
      <c r="Z178" s="27">
        <f t="shared" si="54"/>
        <v>0.16180384541622181</v>
      </c>
      <c r="AA178" s="27">
        <f t="shared" si="54"/>
        <v>0.10925792564159049</v>
      </c>
      <c r="AB178" s="27">
        <f t="shared" si="54"/>
        <v>0.1210481124632715</v>
      </c>
      <c r="AC178" s="27">
        <f t="shared" si="54"/>
        <v>0.12685796296939036</v>
      </c>
      <c r="AD178" s="27">
        <f t="shared" si="54"/>
        <v>0.16366018593928011</v>
      </c>
      <c r="AE178" s="27">
        <f t="shared" si="54"/>
        <v>0.11322436909282896</v>
      </c>
      <c r="AF178" s="27">
        <f t="shared" si="54"/>
        <v>0.10116332225550181</v>
      </c>
      <c r="AG178" s="27">
        <f t="shared" si="54"/>
        <v>7.2876509027977363E-2</v>
      </c>
      <c r="AH178" s="27">
        <f t="shared" si="54"/>
        <v>9.61390989151307E-2</v>
      </c>
      <c r="AI178" s="27">
        <f t="shared" si="54"/>
        <v>9.0330225461239325E-2</v>
      </c>
      <c r="AJ178" s="27">
        <f t="shared" si="54"/>
        <v>8.9397552390320267E-2</v>
      </c>
      <c r="AK178" s="27">
        <f t="shared" si="54"/>
        <v>9.5330889622893225E-2</v>
      </c>
      <c r="AL178" s="27">
        <f t="shared" si="54"/>
        <v>0.19325559735470346</v>
      </c>
      <c r="AM178" s="27">
        <f t="shared" si="54"/>
        <v>0.16095684985762945</v>
      </c>
      <c r="AN178" s="27">
        <f t="shared" si="54"/>
        <v>0.16099131862772928</v>
      </c>
      <c r="AO178" s="27">
        <f t="shared" si="54"/>
        <v>0.11660266692516136</v>
      </c>
      <c r="AP178" s="27">
        <f t="shared" si="54"/>
        <v>7.8292689681570771E-2</v>
      </c>
      <c r="AQ178" s="27">
        <f t="shared" si="54"/>
        <v>0.15058757909139936</v>
      </c>
      <c r="AR178" s="27">
        <f t="shared" si="54"/>
        <v>0.17233187531084546</v>
      </c>
      <c r="AS178" s="27">
        <f t="shared" si="54"/>
        <v>0.15941628936856542</v>
      </c>
      <c r="AT178" s="27">
        <f t="shared" si="54"/>
        <v>9.0368182895875088E-2</v>
      </c>
    </row>
    <row r="179" spans="1:46">
      <c r="A179" s="80">
        <v>4</v>
      </c>
      <c r="B179" s="81" t="s">
        <v>94</v>
      </c>
      <c r="C179" s="79">
        <f>C178^2</f>
        <v>4.4390000885659022E-3</v>
      </c>
      <c r="D179" s="79">
        <f t="shared" ref="D179:AT179" si="55">D178^2</f>
        <v>2.2673934026824868E-2</v>
      </c>
      <c r="E179" s="79">
        <f t="shared" si="55"/>
        <v>1.0675598283842888E-2</v>
      </c>
      <c r="F179" s="79">
        <f t="shared" si="55"/>
        <v>1.211165226983262E-2</v>
      </c>
      <c r="G179" s="79">
        <f t="shared" si="55"/>
        <v>6.7906502723979485E-3</v>
      </c>
      <c r="H179" s="79">
        <f t="shared" si="55"/>
        <v>1.4735774365360089E-2</v>
      </c>
      <c r="I179" s="79">
        <f t="shared" si="55"/>
        <v>2.3418038769526694E-2</v>
      </c>
      <c r="J179" s="79">
        <f t="shared" si="55"/>
        <v>1.2623616983167692E-2</v>
      </c>
      <c r="K179" s="79">
        <f t="shared" si="55"/>
        <v>1.1230735751358523E-2</v>
      </c>
      <c r="L179" s="79">
        <f t="shared" si="55"/>
        <v>9.6071141858300717E-3</v>
      </c>
      <c r="M179" s="79">
        <f t="shared" si="55"/>
        <v>2.4223759093173741E-2</v>
      </c>
      <c r="N179" s="79">
        <f t="shared" si="55"/>
        <v>2.469782099103341E-2</v>
      </c>
      <c r="O179" s="79">
        <f t="shared" si="55"/>
        <v>1.1137373131787769E-2</v>
      </c>
      <c r="P179" s="79">
        <f t="shared" si="55"/>
        <v>1.0387565646489768E-2</v>
      </c>
      <c r="Q179" s="79">
        <f t="shared" si="55"/>
        <v>1.48608586539749E-2</v>
      </c>
      <c r="R179" s="79">
        <f t="shared" si="55"/>
        <v>3.6659094211041604E-3</v>
      </c>
      <c r="S179" s="79">
        <f t="shared" si="55"/>
        <v>8.7274972977297565E-3</v>
      </c>
      <c r="T179" s="79">
        <f t="shared" si="55"/>
        <v>1.1922812006087068E-2</v>
      </c>
      <c r="U179" s="79">
        <f t="shared" si="55"/>
        <v>2.4044150297127267E-2</v>
      </c>
      <c r="V179" s="79">
        <f t="shared" si="55"/>
        <v>2.5953726991529258E-2</v>
      </c>
      <c r="W179" s="79">
        <f t="shared" si="55"/>
        <v>6.813043355362973E-3</v>
      </c>
      <c r="X179" s="79">
        <f t="shared" si="55"/>
        <v>1.5190733850015577E-2</v>
      </c>
      <c r="Y179" s="79">
        <f t="shared" si="55"/>
        <v>1.4952242566681536E-2</v>
      </c>
      <c r="Z179" s="79">
        <f t="shared" si="55"/>
        <v>2.6180484391476602E-2</v>
      </c>
      <c r="AA179" s="79">
        <f t="shared" si="55"/>
        <v>1.1937294315503317E-2</v>
      </c>
      <c r="AB179" s="79">
        <f t="shared" si="55"/>
        <v>1.4652645530920825E-2</v>
      </c>
      <c r="AC179" s="79">
        <f t="shared" si="55"/>
        <v>1.6092942768743217E-2</v>
      </c>
      <c r="AD179" s="79">
        <f t="shared" si="55"/>
        <v>2.678465646167974E-2</v>
      </c>
      <c r="AE179" s="79">
        <f t="shared" si="55"/>
        <v>1.2819757756469161E-2</v>
      </c>
      <c r="AF179" s="79">
        <f t="shared" si="55"/>
        <v>1.0234017769770509E-2</v>
      </c>
      <c r="AG179" s="79">
        <f t="shared" si="55"/>
        <v>5.3109855681048659E-3</v>
      </c>
      <c r="AH179" s="79">
        <f t="shared" si="55"/>
        <v>9.2427263402132843E-3</v>
      </c>
      <c r="AI179" s="79">
        <f t="shared" si="55"/>
        <v>8.1595496318783295E-3</v>
      </c>
      <c r="AJ179" s="79">
        <f t="shared" si="55"/>
        <v>7.9919223733800563E-3</v>
      </c>
      <c r="AK179" s="79">
        <f t="shared" si="55"/>
        <v>9.087978516292252E-3</v>
      </c>
      <c r="AL179" s="79">
        <f t="shared" si="55"/>
        <v>3.7347725908923268E-2</v>
      </c>
      <c r="AM179" s="79">
        <f t="shared" si="55"/>
        <v>2.590710751609147E-2</v>
      </c>
      <c r="AN179" s="79">
        <f t="shared" si="55"/>
        <v>2.5918204673495052E-2</v>
      </c>
      <c r="AO179" s="79">
        <f t="shared" si="55"/>
        <v>1.3596181934060118E-2</v>
      </c>
      <c r="AP179" s="79">
        <f t="shared" si="55"/>
        <v>6.1297452575747383E-3</v>
      </c>
      <c r="AQ179" s="79">
        <f t="shared" si="55"/>
        <v>2.2676618976608456E-2</v>
      </c>
      <c r="AR179" s="79">
        <f t="shared" si="55"/>
        <v>2.9698275248152786E-2</v>
      </c>
      <c r="AS179" s="79">
        <f t="shared" si="55"/>
        <v>2.5413553316042184E-2</v>
      </c>
      <c r="AT179" s="79">
        <f t="shared" si="55"/>
        <v>8.1664084799023314E-3</v>
      </c>
    </row>
    <row r="181" spans="1:46" ht="15.75" thickBot="1"/>
    <row r="182" spans="1:46" ht="15.75" thickBot="1">
      <c r="A182" s="26" t="str">
        <f>'Security Analysis'!I3</f>
        <v>Last 3 Years</v>
      </c>
      <c r="B182" s="20">
        <f>VLOOKUP(A182,SELECTIONS_NO,2,FALSE)</f>
        <v>36</v>
      </c>
      <c r="C182" s="614" t="s">
        <v>142</v>
      </c>
      <c r="D182" s="615"/>
      <c r="E182" s="615"/>
      <c r="F182" s="615"/>
      <c r="G182" s="615"/>
      <c r="H182" s="615"/>
      <c r="I182" s="615"/>
      <c r="J182" s="615"/>
      <c r="K182" s="615"/>
      <c r="L182" s="615"/>
      <c r="M182" s="615"/>
      <c r="N182" s="615"/>
      <c r="O182" s="615"/>
      <c r="P182" s="615"/>
      <c r="Q182" s="615"/>
      <c r="R182" s="615"/>
      <c r="S182" s="615"/>
      <c r="T182" s="615"/>
      <c r="U182" s="615"/>
      <c r="V182" s="615"/>
      <c r="W182" s="615"/>
      <c r="X182" s="615"/>
      <c r="Y182" s="615"/>
      <c r="Z182" s="615"/>
      <c r="AA182" s="615"/>
      <c r="AB182" s="615"/>
      <c r="AC182" s="615"/>
      <c r="AD182" s="615"/>
      <c r="AE182" s="615"/>
      <c r="AF182" s="615"/>
      <c r="AG182" s="615"/>
      <c r="AH182" s="615"/>
      <c r="AI182" s="615"/>
      <c r="AJ182" s="615"/>
      <c r="AK182" s="615"/>
      <c r="AL182" s="615"/>
      <c r="AM182" s="615"/>
      <c r="AN182" s="615"/>
      <c r="AO182" s="615"/>
      <c r="AP182" s="615"/>
      <c r="AQ182" s="615"/>
      <c r="AR182" s="615"/>
      <c r="AS182" s="615"/>
      <c r="AT182" s="615"/>
    </row>
    <row r="183" spans="1:46">
      <c r="A183" s="78">
        <v>1</v>
      </c>
      <c r="C183" s="18" t="str">
        <f>C176</f>
        <v>ADVANC</v>
      </c>
      <c r="D183" s="18" t="str">
        <f t="shared" ref="D183:AT183" si="56">D176</f>
        <v>AOT</v>
      </c>
      <c r="E183" s="18" t="str">
        <f t="shared" si="56"/>
        <v>BBL</v>
      </c>
      <c r="F183" s="18" t="str">
        <f t="shared" si="56"/>
        <v>BGH</v>
      </c>
      <c r="G183" s="18" t="str">
        <f t="shared" si="56"/>
        <v>BECL</v>
      </c>
      <c r="H183" s="18" t="str">
        <f t="shared" si="56"/>
        <v>BAY</v>
      </c>
      <c r="I183" s="18" t="str">
        <f t="shared" si="56"/>
        <v>BANPU</v>
      </c>
      <c r="J183" s="18" t="str">
        <f t="shared" si="56"/>
        <v>BEC</v>
      </c>
      <c r="K183" s="18" t="str">
        <f t="shared" si="56"/>
        <v>BIGC</v>
      </c>
      <c r="L183" s="18" t="str">
        <f t="shared" si="56"/>
        <v>BH</v>
      </c>
      <c r="M183" s="18" t="str">
        <f t="shared" si="56"/>
        <v>CCET</v>
      </c>
      <c r="N183" s="18" t="str">
        <f t="shared" si="56"/>
        <v>CPN</v>
      </c>
      <c r="O183" s="18" t="str">
        <f t="shared" si="56"/>
        <v>CPF</v>
      </c>
      <c r="P183" s="18" t="str">
        <f t="shared" si="56"/>
        <v>CPALL</v>
      </c>
      <c r="Q183" s="18" t="str">
        <f t="shared" si="56"/>
        <v>DELTA</v>
      </c>
      <c r="R183" s="18" t="str">
        <f t="shared" si="56"/>
        <v>EGCO</v>
      </c>
      <c r="S183" s="18" t="str">
        <f t="shared" si="56"/>
        <v>GLOW</v>
      </c>
      <c r="T183" s="18" t="str">
        <f t="shared" si="56"/>
        <v>HANA</v>
      </c>
      <c r="U183" s="18" t="str">
        <f t="shared" si="56"/>
        <v>IRPC</v>
      </c>
      <c r="V183" s="18" t="str">
        <f t="shared" si="56"/>
        <v>ITD</v>
      </c>
      <c r="W183" s="18" t="str">
        <f t="shared" si="56"/>
        <v>KBANK</v>
      </c>
      <c r="X183" s="18" t="str">
        <f t="shared" si="56"/>
        <v>KSL</v>
      </c>
      <c r="Y183" s="18" t="str">
        <f t="shared" si="56"/>
        <v>KTB</v>
      </c>
      <c r="Z183" s="18" t="str">
        <f t="shared" si="56"/>
        <v>LH</v>
      </c>
      <c r="AA183" s="18" t="str">
        <f t="shared" si="56"/>
        <v>MCOT</v>
      </c>
      <c r="AB183" s="18" t="str">
        <f t="shared" si="56"/>
        <v>MINT</v>
      </c>
      <c r="AC183" s="18" t="str">
        <f t="shared" si="56"/>
        <v>PSL</v>
      </c>
      <c r="AD183" s="18" t="str">
        <f t="shared" si="56"/>
        <v>PS</v>
      </c>
      <c r="AE183" s="18" t="str">
        <f t="shared" si="56"/>
        <v>PTTEP</v>
      </c>
      <c r="AF183" s="18" t="str">
        <f t="shared" si="56"/>
        <v>PTT</v>
      </c>
      <c r="AG183" s="18" t="str">
        <f t="shared" si="56"/>
        <v>RATCH</v>
      </c>
      <c r="AH183" s="18" t="str">
        <f t="shared" si="56"/>
        <v>SCC</v>
      </c>
      <c r="AI183" s="18" t="str">
        <f t="shared" si="56"/>
        <v>SCCC</v>
      </c>
      <c r="AJ183" s="18" t="str">
        <f t="shared" si="56"/>
        <v>SCB</v>
      </c>
      <c r="AK183" s="18" t="str">
        <f t="shared" si="56"/>
        <v>MAKRO</v>
      </c>
      <c r="AL183" s="18" t="str">
        <f t="shared" si="56"/>
        <v>TSTH</v>
      </c>
      <c r="AM183" s="18" t="str">
        <f t="shared" si="56"/>
        <v>THAI</v>
      </c>
      <c r="AN183" s="18" t="str">
        <f t="shared" si="56"/>
        <v>TOP</v>
      </c>
      <c r="AO183" s="18" t="str">
        <f t="shared" si="56"/>
        <v>TPC</v>
      </c>
      <c r="AP183" s="18" t="str">
        <f t="shared" si="56"/>
        <v>TUF</v>
      </c>
      <c r="AQ183" s="18" t="str">
        <f t="shared" si="56"/>
        <v>TCAP</v>
      </c>
      <c r="AR183" s="18" t="str">
        <f t="shared" si="56"/>
        <v xml:space="preserve">TTA </v>
      </c>
      <c r="AS183" s="18" t="str">
        <f t="shared" si="56"/>
        <v>TMB</v>
      </c>
      <c r="AT183" s="18" t="str">
        <f t="shared" si="56"/>
        <v>SET50</v>
      </c>
    </row>
    <row r="184" spans="1:46">
      <c r="A184" s="80">
        <v>2</v>
      </c>
      <c r="B184" s="95" t="s">
        <v>59</v>
      </c>
      <c r="C184" s="96">
        <f t="shared" ref="C184:AT184" ca="1" si="57">AVERAGE(OFFSET(C$160,0,0,-NO_OBS_EA,1))</f>
        <v>2.5389460648322662E-2</v>
      </c>
      <c r="D184" s="96">
        <f t="shared" ca="1" si="57"/>
        <v>2.0979971157415317E-2</v>
      </c>
      <c r="E184" s="96">
        <f t="shared" ca="1" si="57"/>
        <v>1.2149948755865926E-2</v>
      </c>
      <c r="F184" s="96">
        <f t="shared" ca="1" si="57"/>
        <v>4.049891752753456E-2</v>
      </c>
      <c r="G184" s="96">
        <f t="shared" ca="1" si="57"/>
        <v>1.1512049391414579E-2</v>
      </c>
      <c r="H184" s="96">
        <f t="shared" ca="1" si="57"/>
        <v>1.2337062479647734E-2</v>
      </c>
      <c r="I184" s="96">
        <f t="shared" ca="1" si="57"/>
        <v>-3.1365403520586493E-3</v>
      </c>
      <c r="J184" s="96">
        <f t="shared" ca="1" si="57"/>
        <v>2.7880070944143496E-2</v>
      </c>
      <c r="K184" s="96">
        <f t="shared" ca="1" si="57"/>
        <v>4.1575882994083484E-2</v>
      </c>
      <c r="L184" s="96">
        <f t="shared" ca="1" si="57"/>
        <v>2.712526644075583E-2</v>
      </c>
      <c r="M184" s="96">
        <f t="shared" ca="1" si="57"/>
        <v>-8.0954006130647405E-3</v>
      </c>
      <c r="N184" s="96">
        <f t="shared" ca="1" si="57"/>
        <v>3.2933990712714988E-2</v>
      </c>
      <c r="O184" s="96">
        <f t="shared" ca="1" si="57"/>
        <v>3.7162277159276211E-2</v>
      </c>
      <c r="P184" s="96">
        <f t="shared" ca="1" si="57"/>
        <v>4.03750864114817E-2</v>
      </c>
      <c r="Q184" s="96">
        <f t="shared" ca="1" si="57"/>
        <v>1.3144293209676207E-2</v>
      </c>
      <c r="R184" s="96">
        <f t="shared" ca="1" si="57"/>
        <v>1.5936309547109229E-2</v>
      </c>
      <c r="S184" s="96">
        <f t="shared" ca="1" si="57"/>
        <v>2.1626174027002031E-2</v>
      </c>
      <c r="T184" s="96">
        <f t="shared" ca="1" si="57"/>
        <v>4.5144147082715374E-3</v>
      </c>
      <c r="U184" s="96">
        <f t="shared" ca="1" si="57"/>
        <v>1.3619285344532879E-3</v>
      </c>
      <c r="V184" s="96">
        <f t="shared" ca="1" si="57"/>
        <v>5.3436636846515657E-3</v>
      </c>
      <c r="W184" s="96">
        <f t="shared" ca="1" si="57"/>
        <v>2.1142226781837539E-2</v>
      </c>
      <c r="X184" s="96">
        <f t="shared" ca="1" si="57"/>
        <v>4.240964480774522E-4</v>
      </c>
      <c r="Y184" s="96">
        <f t="shared" ca="1" si="57"/>
        <v>2.0638544995337252E-2</v>
      </c>
      <c r="Z184" s="96">
        <f t="shared" ca="1" si="57"/>
        <v>1.0161106992103692E-2</v>
      </c>
      <c r="AA184" s="96">
        <f t="shared" ca="1" si="57"/>
        <v>9.2440757990010242E-3</v>
      </c>
      <c r="AB184" s="96">
        <f t="shared" ca="1" si="57"/>
        <v>1.7116281650661588E-2</v>
      </c>
      <c r="AC184" s="96">
        <f t="shared" ca="1" si="57"/>
        <v>-9.2574671362132214E-3</v>
      </c>
      <c r="AD184" s="96">
        <f t="shared" ca="1" si="57"/>
        <v>5.2921756666148108E-3</v>
      </c>
      <c r="AE184" s="96">
        <f t="shared" ca="1" si="57"/>
        <v>8.1306617500313599E-4</v>
      </c>
      <c r="AF184" s="96">
        <f t="shared" ca="1" si="57"/>
        <v>6.1319514280102523E-3</v>
      </c>
      <c r="AG184" s="96">
        <f t="shared" ca="1" si="57"/>
        <v>9.9444047463677944E-3</v>
      </c>
      <c r="AH184" s="96">
        <f t="shared" ca="1" si="57"/>
        <v>1.5202647320760605E-2</v>
      </c>
      <c r="AI184" s="96">
        <f t="shared" ca="1" si="57"/>
        <v>1.7214436444586884E-2</v>
      </c>
      <c r="AJ184" s="96">
        <f t="shared" ca="1" si="57"/>
        <v>1.8819372469244935E-2</v>
      </c>
      <c r="AK184" s="96">
        <f t="shared" ca="1" si="57"/>
        <v>4.7078932556545362E-2</v>
      </c>
      <c r="AL184" s="96">
        <f t="shared" ca="1" si="57"/>
        <v>-2.6646021326599958E-2</v>
      </c>
      <c r="AM184" s="96">
        <f t="shared" ca="1" si="57"/>
        <v>2.2948823754608827E-3</v>
      </c>
      <c r="AN184" s="96">
        <f t="shared" ca="1" si="57"/>
        <v>1.1209959162155073E-2</v>
      </c>
      <c r="AO184" s="96">
        <f t="shared" ca="1" si="57"/>
        <v>1.3112211075856511E-2</v>
      </c>
      <c r="AP184" s="96">
        <f t="shared" ca="1" si="57"/>
        <v>2.7527749813226907E-2</v>
      </c>
      <c r="AQ184" s="96">
        <f t="shared" ca="1" si="57"/>
        <v>1.591383478912135E-2</v>
      </c>
      <c r="AR184" s="96">
        <f t="shared" ca="1" si="57"/>
        <v>-1.1717062391935944E-2</v>
      </c>
      <c r="AS184" s="96">
        <f t="shared" ca="1" si="57"/>
        <v>1.2425339390101814E-2</v>
      </c>
      <c r="AT184" s="96">
        <f t="shared" ca="1" si="57"/>
        <v>1.5380366695362725E-2</v>
      </c>
    </row>
  </sheetData>
  <mergeCells count="4">
    <mergeCell ref="C169:AT169"/>
    <mergeCell ref="C175:AT175"/>
    <mergeCell ref="A175:B175"/>
    <mergeCell ref="C182:AT182"/>
  </mergeCells>
  <dataValidations count="2">
    <dataValidation type="list" allowBlank="1" showInputMessage="1" showErrorMessage="1" sqref="A182">
      <formula1>SELECTIONS</formula1>
    </dataValidation>
    <dataValidation type="list" allowBlank="1" showInputMessage="1" showErrorMessage="1" sqref="A169">
      <formula1>SELECTIONS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7">
    <tabColor rgb="FF00B050"/>
  </sheetPr>
  <dimension ref="A1:AE370"/>
  <sheetViews>
    <sheetView zoomScale="82" zoomScaleNormal="82" workbookViewId="0">
      <selection activeCell="B10" sqref="B10"/>
    </sheetView>
  </sheetViews>
  <sheetFormatPr defaultColWidth="9.140625" defaultRowHeight="12.75"/>
  <cols>
    <col min="1" max="1" width="11.5703125" style="291" bestFit="1" customWidth="1"/>
    <col min="2" max="2" width="34.85546875" style="291" bestFit="1" customWidth="1"/>
    <col min="3" max="3" width="39.7109375" style="291" bestFit="1" customWidth="1"/>
    <col min="4" max="4" width="35.42578125" style="291" bestFit="1" customWidth="1"/>
    <col min="5" max="5" width="8.28515625" style="291" bestFit="1" customWidth="1"/>
    <col min="6" max="7" width="7" style="291" bestFit="1" customWidth="1"/>
    <col min="8" max="8" width="15" style="291" bestFit="1" customWidth="1"/>
    <col min="9" max="9" width="11.140625" style="291" bestFit="1" customWidth="1"/>
    <col min="10" max="10" width="9.140625" style="291"/>
    <col min="11" max="11" width="8.140625" style="291" bestFit="1" customWidth="1"/>
    <col min="12" max="12" width="9.140625" style="291"/>
    <col min="13" max="13" width="12.5703125" style="291" bestFit="1" customWidth="1"/>
    <col min="14" max="14" width="13" style="291" customWidth="1"/>
    <col min="15" max="15" width="11.85546875" style="291" customWidth="1"/>
    <col min="16" max="16" width="8.7109375" style="291" bestFit="1" customWidth="1"/>
    <col min="17" max="17" width="9.28515625" style="291" bestFit="1" customWidth="1"/>
    <col min="18" max="18" width="11.7109375" style="291" customWidth="1"/>
    <col min="19" max="19" width="11.28515625" style="291" bestFit="1" customWidth="1"/>
    <col min="20" max="22" width="8.7109375" style="291" bestFit="1" customWidth="1"/>
    <col min="23" max="23" width="8.42578125" style="291" customWidth="1"/>
    <col min="24" max="24" width="9.28515625" style="291" customWidth="1"/>
    <col min="25" max="27" width="6.28515625" style="291" bestFit="1" customWidth="1"/>
    <col min="28" max="28" width="4.85546875" style="291" bestFit="1" customWidth="1"/>
    <col min="29" max="30" width="5" style="291" bestFit="1" customWidth="1"/>
    <col min="31" max="31" width="8.5703125" style="291" bestFit="1" customWidth="1"/>
    <col min="32" max="16384" width="9.140625" style="291"/>
  </cols>
  <sheetData>
    <row r="1" spans="1:31">
      <c r="A1" s="291">
        <v>1</v>
      </c>
      <c r="B1" s="291">
        <v>2</v>
      </c>
      <c r="C1" s="291">
        <v>3</v>
      </c>
      <c r="D1" s="291">
        <v>4</v>
      </c>
      <c r="E1" s="291">
        <v>5</v>
      </c>
      <c r="F1" s="291">
        <v>6</v>
      </c>
      <c r="G1" s="291">
        <v>7</v>
      </c>
      <c r="H1" s="291">
        <v>8</v>
      </c>
      <c r="I1" s="291">
        <v>9</v>
      </c>
      <c r="J1" s="291">
        <v>10</v>
      </c>
      <c r="K1" s="291">
        <v>11</v>
      </c>
      <c r="L1" s="291">
        <v>12</v>
      </c>
      <c r="M1" s="291">
        <v>13</v>
      </c>
      <c r="N1" s="291">
        <v>14</v>
      </c>
      <c r="O1" s="291">
        <v>15</v>
      </c>
      <c r="P1" s="291">
        <v>16</v>
      </c>
      <c r="Q1" s="291">
        <v>17</v>
      </c>
      <c r="R1" s="291">
        <v>18</v>
      </c>
      <c r="S1" s="291">
        <v>19</v>
      </c>
      <c r="T1" s="291">
        <v>20</v>
      </c>
      <c r="U1" s="291">
        <v>21</v>
      </c>
      <c r="V1" s="291">
        <v>22</v>
      </c>
      <c r="W1" s="291">
        <v>23</v>
      </c>
      <c r="X1" s="291">
        <v>24</v>
      </c>
      <c r="Y1" s="291">
        <v>25</v>
      </c>
      <c r="Z1" s="291">
        <v>26</v>
      </c>
      <c r="AA1" s="291">
        <v>27</v>
      </c>
      <c r="AB1" s="291">
        <v>28</v>
      </c>
      <c r="AC1" s="291">
        <v>29</v>
      </c>
      <c r="AD1" s="291">
        <v>30</v>
      </c>
      <c r="AE1" s="291">
        <v>31</v>
      </c>
    </row>
    <row r="2" spans="1:31" s="304" customFormat="1" ht="63.75">
      <c r="A2" s="303" t="s">
        <v>151</v>
      </c>
      <c r="B2" s="303" t="s">
        <v>152</v>
      </c>
      <c r="C2" s="303" t="s">
        <v>153</v>
      </c>
      <c r="D2" s="303" t="s">
        <v>154</v>
      </c>
      <c r="E2" s="303" t="s">
        <v>155</v>
      </c>
      <c r="F2" s="303" t="s">
        <v>156</v>
      </c>
      <c r="G2" s="303" t="s">
        <v>157</v>
      </c>
      <c r="H2" s="303" t="s">
        <v>158</v>
      </c>
      <c r="I2" s="303" t="s">
        <v>159</v>
      </c>
      <c r="J2" s="303" t="s">
        <v>160</v>
      </c>
      <c r="K2" s="303" t="s">
        <v>161</v>
      </c>
      <c r="L2" s="303" t="s">
        <v>162</v>
      </c>
      <c r="M2" s="303" t="s">
        <v>163</v>
      </c>
      <c r="N2" s="303" t="s">
        <v>164</v>
      </c>
      <c r="O2" s="303" t="s">
        <v>165</v>
      </c>
      <c r="P2" s="303" t="s">
        <v>166</v>
      </c>
      <c r="Q2" s="303" t="s">
        <v>167</v>
      </c>
      <c r="R2" s="303" t="s">
        <v>168</v>
      </c>
      <c r="S2" s="303" t="s">
        <v>169</v>
      </c>
      <c r="T2" s="303" t="s">
        <v>170</v>
      </c>
      <c r="U2" s="303" t="s">
        <v>171</v>
      </c>
      <c r="V2" s="303" t="s">
        <v>172</v>
      </c>
      <c r="W2" s="303" t="s">
        <v>173</v>
      </c>
      <c r="X2" s="303" t="s">
        <v>174</v>
      </c>
      <c r="Y2" s="303" t="s">
        <v>175</v>
      </c>
      <c r="Z2" s="303" t="s">
        <v>176</v>
      </c>
      <c r="AA2" s="303" t="s">
        <v>177</v>
      </c>
      <c r="AB2" s="303" t="s">
        <v>178</v>
      </c>
      <c r="AC2" s="303" t="s">
        <v>179</v>
      </c>
      <c r="AD2" s="303" t="s">
        <v>180</v>
      </c>
      <c r="AE2" s="303" t="s">
        <v>181</v>
      </c>
    </row>
    <row r="3" spans="1:31">
      <c r="A3" s="305" t="s">
        <v>2</v>
      </c>
      <c r="B3" s="305" t="s">
        <v>182</v>
      </c>
      <c r="C3" s="305" t="s">
        <v>183</v>
      </c>
      <c r="D3" s="305" t="s">
        <v>184</v>
      </c>
      <c r="E3" s="306">
        <v>189.5</v>
      </c>
      <c r="F3" s="306">
        <v>227</v>
      </c>
      <c r="G3" s="306">
        <v>132</v>
      </c>
      <c r="H3" s="307">
        <v>13982500</v>
      </c>
      <c r="I3" s="307">
        <v>4832285</v>
      </c>
      <c r="J3" s="307">
        <v>208.52</v>
      </c>
      <c r="K3" s="307">
        <v>185.76</v>
      </c>
      <c r="L3" s="308">
        <v>0.63342050000000005</v>
      </c>
      <c r="M3" s="308">
        <v>4.1176469999999998</v>
      </c>
      <c r="N3" s="309">
        <v>0.44980189999999998</v>
      </c>
      <c r="O3" s="306">
        <v>0.56060606546142644</v>
      </c>
      <c r="P3" s="310">
        <v>0.39717164272848215</v>
      </c>
      <c r="Q3" s="310">
        <v>0.17572126379667943</v>
      </c>
      <c r="R3" s="306">
        <v>2973.0949999999998</v>
      </c>
      <c r="S3" s="311">
        <v>563.40156249999995</v>
      </c>
      <c r="T3" s="312">
        <v>9.2439999999999998</v>
      </c>
      <c r="U3" s="313">
        <v>3.157</v>
      </c>
      <c r="V3" s="306">
        <v>12.083</v>
      </c>
      <c r="W3" s="306">
        <v>20.499783643444395</v>
      </c>
      <c r="X3" s="306">
        <v>15.683191260448563</v>
      </c>
      <c r="Y3" s="305">
        <v>4.2071221135433374</v>
      </c>
      <c r="Z3" s="305">
        <v>12.737549308296224</v>
      </c>
      <c r="AA3" s="305">
        <v>11.122639044278346</v>
      </c>
      <c r="AB3" s="305">
        <v>63.853620085963961</v>
      </c>
      <c r="AC3" s="305">
        <v>27.527391026207393</v>
      </c>
      <c r="AD3" s="305">
        <v>38.944415477662631</v>
      </c>
      <c r="AE3" s="305" t="s">
        <v>185</v>
      </c>
    </row>
    <row r="4" spans="1:31">
      <c r="A4" s="305" t="s">
        <v>3</v>
      </c>
      <c r="B4" s="305" t="s">
        <v>186</v>
      </c>
      <c r="C4" s="305" t="s">
        <v>187</v>
      </c>
      <c r="D4" s="305" t="s">
        <v>188</v>
      </c>
      <c r="E4" s="306">
        <v>82.5</v>
      </c>
      <c r="F4" s="306">
        <v>88.25</v>
      </c>
      <c r="G4" s="306">
        <v>35.75</v>
      </c>
      <c r="H4" s="307">
        <v>2076800</v>
      </c>
      <c r="I4" s="307">
        <v>3434030</v>
      </c>
      <c r="J4" s="307">
        <v>77.83</v>
      </c>
      <c r="K4" s="307">
        <v>63.068750000000001</v>
      </c>
      <c r="L4" s="308">
        <v>0.97706150000000003</v>
      </c>
      <c r="M4" s="308">
        <v>3.95</v>
      </c>
      <c r="N4" s="309">
        <v>0.74740640000000003</v>
      </c>
      <c r="O4" s="306">
        <v>0.89004505572431103</v>
      </c>
      <c r="P4" s="310" t="e">
        <v>#VALUE!</v>
      </c>
      <c r="Q4" s="310">
        <v>8.8276475504646415E-2</v>
      </c>
      <c r="R4" s="306">
        <v>1428.57</v>
      </c>
      <c r="S4" s="311">
        <v>117.8570234375</v>
      </c>
      <c r="T4" s="312">
        <v>3.5819999999999999</v>
      </c>
      <c r="U4" s="313">
        <v>1.6300000000000001</v>
      </c>
      <c r="V4" s="306">
        <v>4.3730000000000002</v>
      </c>
      <c r="W4" s="306">
        <v>23.031825795644892</v>
      </c>
      <c r="X4" s="306">
        <v>18.865767207866451</v>
      </c>
      <c r="Y4" s="305">
        <v>3.9349568340512806</v>
      </c>
      <c r="Z4" s="305">
        <v>1.5503295937093362</v>
      </c>
      <c r="AA4" s="305">
        <v>8.4440243709098564</v>
      </c>
      <c r="AB4" s="305">
        <v>6.7483940955681856</v>
      </c>
      <c r="AC4" s="305">
        <v>3.4526643044690553</v>
      </c>
      <c r="AD4" s="305">
        <v>4.730938411956199</v>
      </c>
      <c r="AE4" s="305" t="s">
        <v>189</v>
      </c>
    </row>
    <row r="5" spans="1:31">
      <c r="A5" s="305" t="s">
        <v>4</v>
      </c>
      <c r="B5" s="305" t="s">
        <v>190</v>
      </c>
      <c r="C5" s="305" t="s">
        <v>191</v>
      </c>
      <c r="D5" s="305" t="s">
        <v>192</v>
      </c>
      <c r="E5" s="306">
        <v>178</v>
      </c>
      <c r="F5" s="306">
        <v>203</v>
      </c>
      <c r="G5" s="306">
        <v>136</v>
      </c>
      <c r="H5" s="307">
        <v>6640300</v>
      </c>
      <c r="I5" s="307">
        <v>5056697</v>
      </c>
      <c r="J5" s="307">
        <v>189.71</v>
      </c>
      <c r="K5" s="307">
        <v>183.55250000000001</v>
      </c>
      <c r="L5" s="308">
        <v>1.122179</v>
      </c>
      <c r="M5" s="308">
        <v>4.555555</v>
      </c>
      <c r="N5" s="309">
        <v>0.236508</v>
      </c>
      <c r="O5" s="306">
        <v>0.88146436918166671</v>
      </c>
      <c r="P5" s="310" t="e">
        <v>#VALUE!</v>
      </c>
      <c r="Q5" s="310">
        <v>0.31736818406604</v>
      </c>
      <c r="R5" s="306">
        <v>1908.8429999999998</v>
      </c>
      <c r="S5" s="311">
        <v>339.77403125000001</v>
      </c>
      <c r="T5" s="312">
        <v>16.07</v>
      </c>
      <c r="U5" s="313">
        <v>4.97</v>
      </c>
      <c r="V5" s="306">
        <v>17.254999999999999</v>
      </c>
      <c r="W5" s="306">
        <v>11.076540136901057</v>
      </c>
      <c r="X5" s="306">
        <v>10.315850478122284</v>
      </c>
      <c r="Y5" s="305">
        <v>2.6823927463066681</v>
      </c>
      <c r="Z5" s="305">
        <v>1.3018923099440751</v>
      </c>
      <c r="AA5" s="305" t="s">
        <v>193</v>
      </c>
      <c r="AB5" s="305">
        <v>12.402937054316849</v>
      </c>
      <c r="AC5" s="305">
        <v>1.4024607019204378</v>
      </c>
      <c r="AD5" s="305">
        <v>6.5456593968551759</v>
      </c>
      <c r="AE5" s="305" t="s">
        <v>193</v>
      </c>
    </row>
    <row r="6" spans="1:31">
      <c r="A6" s="305" t="s">
        <v>5</v>
      </c>
      <c r="B6" s="305" t="s">
        <v>194</v>
      </c>
      <c r="C6" s="305" t="s">
        <v>195</v>
      </c>
      <c r="D6" s="305" t="s">
        <v>196</v>
      </c>
      <c r="E6" s="306">
        <v>107</v>
      </c>
      <c r="F6" s="306">
        <v>113</v>
      </c>
      <c r="G6" s="306">
        <v>66.5</v>
      </c>
      <c r="H6" s="307">
        <v>1013800</v>
      </c>
      <c r="I6" s="307">
        <v>2873719</v>
      </c>
      <c r="J6" s="307">
        <v>106.72</v>
      </c>
      <c r="K6" s="307">
        <v>93.162499999999994</v>
      </c>
      <c r="L6" s="308">
        <v>0.61165480000000005</v>
      </c>
      <c r="M6" s="308">
        <v>4.2173910000000001</v>
      </c>
      <c r="N6" s="309">
        <v>0.14691170000000001</v>
      </c>
      <c r="O6" s="306">
        <v>0.52482409200666447</v>
      </c>
      <c r="P6" s="310">
        <v>0.34659342192769654</v>
      </c>
      <c r="Q6" s="310">
        <v>0.12104642644233693</v>
      </c>
      <c r="R6" s="306">
        <v>1545.4589999999998</v>
      </c>
      <c r="S6" s="311">
        <v>165.36409374999999</v>
      </c>
      <c r="T6" s="312">
        <v>4.34</v>
      </c>
      <c r="U6" s="313">
        <v>0.82000000000000006</v>
      </c>
      <c r="V6" s="306">
        <v>4.0060000000000002</v>
      </c>
      <c r="W6" s="306">
        <v>24.654377880184331</v>
      </c>
      <c r="X6" s="306">
        <v>26.709935097353966</v>
      </c>
      <c r="Y6" s="305">
        <v>3.9565814901974505</v>
      </c>
      <c r="Z6" s="305">
        <v>4.939004256828663</v>
      </c>
      <c r="AA6" s="305">
        <v>21.694364838467823</v>
      </c>
      <c r="AB6" s="305">
        <v>21.445740077314344</v>
      </c>
      <c r="AC6" s="305">
        <v>11.06734516527375</v>
      </c>
      <c r="AD6" s="305">
        <v>14.562250452594744</v>
      </c>
      <c r="AE6" s="305" t="s">
        <v>185</v>
      </c>
    </row>
    <row r="7" spans="1:31">
      <c r="A7" s="305" t="s">
        <v>6</v>
      </c>
      <c r="B7" s="305" t="s">
        <v>197</v>
      </c>
      <c r="C7" s="305" t="s">
        <v>198</v>
      </c>
      <c r="D7" s="305" t="s">
        <v>199</v>
      </c>
      <c r="E7" s="306">
        <v>29</v>
      </c>
      <c r="F7" s="306">
        <v>30.5</v>
      </c>
      <c r="G7" s="306">
        <v>16.600000000000001</v>
      </c>
      <c r="H7" s="307">
        <v>3381200</v>
      </c>
      <c r="I7" s="307">
        <v>1785303</v>
      </c>
      <c r="J7" s="307">
        <v>28.934999999999999</v>
      </c>
      <c r="K7" s="307">
        <v>24.309750000000001</v>
      </c>
      <c r="L7" s="308">
        <v>0.5694013</v>
      </c>
      <c r="M7" s="308">
        <v>4.733333</v>
      </c>
      <c r="N7" s="309">
        <v>0.32220309999999996</v>
      </c>
      <c r="O7" s="306">
        <v>1.0178905426257694</v>
      </c>
      <c r="P7" s="310" t="e">
        <v>#VALUE!</v>
      </c>
      <c r="Q7" s="310">
        <v>0.19262688310820977</v>
      </c>
      <c r="R7" s="306">
        <v>770</v>
      </c>
      <c r="S7" s="311">
        <v>22.33</v>
      </c>
      <c r="T7" s="312">
        <v>2.7008999999999999</v>
      </c>
      <c r="U7" s="313">
        <v>0.44</v>
      </c>
      <c r="V7" s="306">
        <v>1.974</v>
      </c>
      <c r="W7" s="306">
        <v>10.737161686845127</v>
      </c>
      <c r="X7" s="306">
        <v>14.690982776089159</v>
      </c>
      <c r="Y7" s="305">
        <v>3.0287216326797028</v>
      </c>
      <c r="Z7" s="305">
        <v>1.1049068751036624</v>
      </c>
      <c r="AA7" s="305">
        <v>6.0122916539881475</v>
      </c>
      <c r="AB7" s="305">
        <v>10.64685499693805</v>
      </c>
      <c r="AC7" s="305">
        <v>5.0443428146308635</v>
      </c>
      <c r="AD7" s="305">
        <v>6.752956107370073</v>
      </c>
      <c r="AE7" s="305" t="s">
        <v>200</v>
      </c>
    </row>
    <row r="8" spans="1:31">
      <c r="A8" s="305" t="s">
        <v>7</v>
      </c>
      <c r="B8" s="305" t="s">
        <v>201</v>
      </c>
      <c r="C8" s="305" t="s">
        <v>202</v>
      </c>
      <c r="D8" s="305" t="s">
        <v>192</v>
      </c>
      <c r="E8" s="306">
        <v>29.5</v>
      </c>
      <c r="F8" s="306">
        <v>37</v>
      </c>
      <c r="G8" s="306">
        <v>17.8</v>
      </c>
      <c r="H8" s="307">
        <v>4986800</v>
      </c>
      <c r="I8" s="307">
        <v>14774830</v>
      </c>
      <c r="J8" s="307">
        <v>31.64</v>
      </c>
      <c r="K8" s="307">
        <v>28.52075</v>
      </c>
      <c r="L8" s="308">
        <v>1.174226</v>
      </c>
      <c r="M8" s="308">
        <v>4.2121209999999998</v>
      </c>
      <c r="N8" s="309">
        <v>9.4446829999999996E-2</v>
      </c>
      <c r="O8" s="306">
        <v>2.2797977905586202</v>
      </c>
      <c r="P8" s="310" t="e">
        <v>#VALUE!</v>
      </c>
      <c r="Q8" s="310">
        <v>0.16511762863830529</v>
      </c>
      <c r="R8" s="306">
        <v>6074.1439999999993</v>
      </c>
      <c r="S8" s="311">
        <v>179.187234375</v>
      </c>
      <c r="T8" s="312">
        <v>1.8686000000000003</v>
      </c>
      <c r="U8" s="313">
        <v>0.75</v>
      </c>
      <c r="V8" s="306">
        <v>2.5009999999999999</v>
      </c>
      <c r="W8" s="306">
        <v>15.787220378893286</v>
      </c>
      <c r="X8" s="306">
        <v>11.795281887245103</v>
      </c>
      <c r="Y8" s="305">
        <v>2.3207177524509408</v>
      </c>
      <c r="Z8" s="305">
        <v>1.6421693264998702</v>
      </c>
      <c r="AA8" s="305">
        <v>27.390627723627848</v>
      </c>
      <c r="AB8" s="305">
        <v>10.796900844724377</v>
      </c>
      <c r="AC8" s="305">
        <v>1.1610875871034869</v>
      </c>
      <c r="AD8" s="305">
        <v>3.4664814074040193</v>
      </c>
      <c r="AE8" s="305" t="s">
        <v>193</v>
      </c>
    </row>
    <row r="9" spans="1:31">
      <c r="A9" s="305" t="s">
        <v>8</v>
      </c>
      <c r="B9" s="305" t="s">
        <v>203</v>
      </c>
      <c r="C9" s="305" t="s">
        <v>204</v>
      </c>
      <c r="D9" s="305" t="s">
        <v>205</v>
      </c>
      <c r="E9" s="306">
        <v>389</v>
      </c>
      <c r="F9" s="306">
        <v>688</v>
      </c>
      <c r="G9" s="306">
        <v>388</v>
      </c>
      <c r="H9" s="307">
        <v>872100</v>
      </c>
      <c r="I9" s="307">
        <v>1616331</v>
      </c>
      <c r="J9" s="307">
        <v>413.44</v>
      </c>
      <c r="K9" s="307">
        <v>501.6651</v>
      </c>
      <c r="L9" s="308">
        <v>1.1119760000000001</v>
      </c>
      <c r="M9" s="308">
        <v>3.875</v>
      </c>
      <c r="N9" s="309">
        <v>0.2097117</v>
      </c>
      <c r="O9" s="306">
        <v>1.2493118267189396</v>
      </c>
      <c r="P9" s="310">
        <v>0.3387213163022571</v>
      </c>
      <c r="Q9" s="310">
        <v>0.1784617414106241</v>
      </c>
      <c r="R9" s="306">
        <v>271.74790000000002</v>
      </c>
      <c r="S9" s="311">
        <v>105.7099140625</v>
      </c>
      <c r="T9" s="312">
        <v>48.774000000000001</v>
      </c>
      <c r="U9" s="313">
        <v>11</v>
      </c>
      <c r="V9" s="306">
        <v>39.548999999999999</v>
      </c>
      <c r="W9" s="306">
        <v>7.9755607495796941</v>
      </c>
      <c r="X9" s="306">
        <v>9.8358997699056872</v>
      </c>
      <c r="Y9" s="305">
        <v>0.87153234879862174</v>
      </c>
      <c r="Z9" s="305">
        <v>1.3466181366767165</v>
      </c>
      <c r="AA9" s="305">
        <v>4.9645509642019476</v>
      </c>
      <c r="AB9" s="305">
        <v>17.790776506211252</v>
      </c>
      <c r="AC9" s="305">
        <v>6.1156223809091523</v>
      </c>
      <c r="AD9" s="305">
        <v>12.267946683371465</v>
      </c>
      <c r="AE9" s="305" t="s">
        <v>189</v>
      </c>
    </row>
    <row r="10" spans="1:31">
      <c r="A10" s="305" t="s">
        <v>9</v>
      </c>
      <c r="B10" s="305" t="s">
        <v>206</v>
      </c>
      <c r="C10" s="305" t="s">
        <v>207</v>
      </c>
      <c r="D10" s="305" t="s">
        <v>208</v>
      </c>
      <c r="E10" s="306">
        <v>58</v>
      </c>
      <c r="F10" s="306">
        <v>76.5</v>
      </c>
      <c r="G10" s="306">
        <v>35.25</v>
      </c>
      <c r="H10" s="307">
        <v>2483900</v>
      </c>
      <c r="I10" s="307">
        <v>1812031</v>
      </c>
      <c r="J10" s="307">
        <v>57.475000000000001</v>
      </c>
      <c r="K10" s="307">
        <v>51.784999999999997</v>
      </c>
      <c r="L10" s="308">
        <v>0.84211559999999996</v>
      </c>
      <c r="M10" s="308">
        <v>3.375</v>
      </c>
      <c r="N10" s="309">
        <v>8.9104610000000001E-2</v>
      </c>
      <c r="O10" s="306">
        <v>1.0792450263438975E-3</v>
      </c>
      <c r="P10" s="310">
        <v>0.52607287870290287</v>
      </c>
      <c r="Q10" s="310">
        <v>0.27573077405148083</v>
      </c>
      <c r="R10" s="306">
        <v>2000</v>
      </c>
      <c r="S10" s="311">
        <v>116</v>
      </c>
      <c r="T10" s="312">
        <v>2.0100000000000002</v>
      </c>
      <c r="U10" s="313">
        <v>0.59</v>
      </c>
      <c r="V10" s="306">
        <v>2.3380000000000001</v>
      </c>
      <c r="W10" s="306">
        <v>28.855721393034823</v>
      </c>
      <c r="X10" s="306">
        <v>24.807527801539777</v>
      </c>
      <c r="Y10" s="305">
        <v>8.4887645241824305</v>
      </c>
      <c r="Z10" s="305">
        <v>15.246619325037418</v>
      </c>
      <c r="AA10" s="305">
        <v>18.551932545201414</v>
      </c>
      <c r="AB10" s="305">
        <v>54.131184548152774</v>
      </c>
      <c r="AC10" s="305">
        <v>39.718442460481597</v>
      </c>
      <c r="AD10" s="305">
        <v>54.365227222936873</v>
      </c>
      <c r="AE10" s="305" t="s">
        <v>185</v>
      </c>
    </row>
    <row r="11" spans="1:31">
      <c r="A11" s="305" t="s">
        <v>10</v>
      </c>
      <c r="B11" s="305" t="s">
        <v>209</v>
      </c>
      <c r="C11" s="305" t="s">
        <v>210</v>
      </c>
      <c r="D11" s="305" t="s">
        <v>211</v>
      </c>
      <c r="E11" s="306">
        <v>186.5</v>
      </c>
      <c r="F11" s="306">
        <v>238</v>
      </c>
      <c r="G11" s="306">
        <v>104</v>
      </c>
      <c r="H11" s="307">
        <v>854500</v>
      </c>
      <c r="I11" s="307">
        <v>810350</v>
      </c>
      <c r="J11" s="307">
        <v>188.19</v>
      </c>
      <c r="K11" s="307">
        <v>180.26750000000001</v>
      </c>
      <c r="L11" s="308">
        <v>1.1127689999999999</v>
      </c>
      <c r="M11" s="308">
        <v>2.5555560000000002</v>
      </c>
      <c r="N11" s="309">
        <v>0.40627470000000004</v>
      </c>
      <c r="O11" s="306">
        <v>1.553331658837833</v>
      </c>
      <c r="P11" s="310">
        <v>0.20286398669678074</v>
      </c>
      <c r="Q11" s="310">
        <v>4.7848821765290747E-2</v>
      </c>
      <c r="R11" s="306">
        <v>825</v>
      </c>
      <c r="S11" s="311">
        <v>153.86250000000001</v>
      </c>
      <c r="T11" s="312">
        <v>8.27</v>
      </c>
      <c r="U11" s="313">
        <v>2.46</v>
      </c>
      <c r="V11" s="306">
        <v>7.5200000000000005</v>
      </c>
      <c r="W11" s="306">
        <v>22.551390568319228</v>
      </c>
      <c r="X11" s="306">
        <v>24.800531914893615</v>
      </c>
      <c r="Y11" s="305">
        <v>1.3132033716641438</v>
      </c>
      <c r="Z11" s="305">
        <v>5.1180847643651903</v>
      </c>
      <c r="AA11" s="305">
        <v>15.998194742739958</v>
      </c>
      <c r="AB11" s="305">
        <v>26.085094266012327</v>
      </c>
      <c r="AC11" s="305">
        <v>7.757034043229841</v>
      </c>
      <c r="AD11" s="305">
        <v>13.113252872382269</v>
      </c>
      <c r="AE11" s="305" t="s">
        <v>185</v>
      </c>
    </row>
    <row r="12" spans="1:31">
      <c r="A12" s="305" t="s">
        <v>11</v>
      </c>
      <c r="B12" s="305" t="s">
        <v>212</v>
      </c>
      <c r="C12" s="305" t="s">
        <v>213</v>
      </c>
      <c r="D12" s="305" t="s">
        <v>196</v>
      </c>
      <c r="E12" s="306">
        <v>76.75</v>
      </c>
      <c r="F12" s="306">
        <v>85.5</v>
      </c>
      <c r="G12" s="306">
        <v>39.5</v>
      </c>
      <c r="H12" s="307">
        <v>239200</v>
      </c>
      <c r="I12" s="307">
        <v>1012145</v>
      </c>
      <c r="J12" s="307">
        <v>78.775000000000006</v>
      </c>
      <c r="K12" s="307">
        <v>65.341250000000002</v>
      </c>
      <c r="L12" s="308">
        <v>0.77391399999999999</v>
      </c>
      <c r="M12" s="308">
        <v>3.0434779999999999</v>
      </c>
      <c r="N12" s="309">
        <v>0.26397359999999997</v>
      </c>
      <c r="O12" s="306">
        <v>0.73623678779032875</v>
      </c>
      <c r="P12" s="310">
        <v>0.40092091414620157</v>
      </c>
      <c r="Q12" s="310">
        <v>0.14417214796065472</v>
      </c>
      <c r="R12" s="306">
        <v>728.39319999999998</v>
      </c>
      <c r="S12" s="311">
        <v>55.904179687499997</v>
      </c>
      <c r="T12" s="312">
        <v>2.63</v>
      </c>
      <c r="U12" s="313">
        <v>0.5</v>
      </c>
      <c r="V12" s="306">
        <v>2.93</v>
      </c>
      <c r="W12" s="306">
        <v>29.182509505703422</v>
      </c>
      <c r="X12" s="306">
        <v>26.194539249146757</v>
      </c>
      <c r="Y12" s="305">
        <v>4.7288320498370702</v>
      </c>
      <c r="Z12" s="305">
        <v>7.635130559229431</v>
      </c>
      <c r="AA12" s="305">
        <v>23.861238225971174</v>
      </c>
      <c r="AB12" s="305">
        <v>28.204662178396916</v>
      </c>
      <c r="AC12" s="305">
        <v>13.729872974199294</v>
      </c>
      <c r="AD12" s="305">
        <v>17.88696675118608</v>
      </c>
      <c r="AE12" s="305" t="s">
        <v>185</v>
      </c>
    </row>
    <row r="13" spans="1:31">
      <c r="A13" s="305" t="s">
        <v>12</v>
      </c>
      <c r="B13" s="305" t="s">
        <v>214</v>
      </c>
      <c r="C13" s="305" t="s">
        <v>215</v>
      </c>
      <c r="D13" s="305" t="s">
        <v>216</v>
      </c>
      <c r="E13" s="306">
        <v>2.6</v>
      </c>
      <c r="F13" s="306">
        <v>2.98</v>
      </c>
      <c r="G13" s="306">
        <v>2.1800000000000002</v>
      </c>
      <c r="H13" s="307">
        <v>7739500</v>
      </c>
      <c r="I13" s="307">
        <v>2552547</v>
      </c>
      <c r="J13" s="307">
        <v>2.7031999999999998</v>
      </c>
      <c r="K13" s="307">
        <v>2.7010999999999998</v>
      </c>
      <c r="L13" s="308">
        <v>0.8152083</v>
      </c>
      <c r="M13" s="308">
        <v>1.5555559999999999</v>
      </c>
      <c r="N13" s="309">
        <v>0.20896409999999999</v>
      </c>
      <c r="O13" s="306">
        <v>0.8968787503833221</v>
      </c>
      <c r="P13" s="310">
        <v>2.9197438925069985E-2</v>
      </c>
      <c r="Q13" s="310">
        <v>3.8913972714636892E-3</v>
      </c>
      <c r="R13" s="306">
        <v>4077.556</v>
      </c>
      <c r="S13" s="311">
        <v>10.601645507812499</v>
      </c>
      <c r="T13" s="312">
        <v>0.17599999999999999</v>
      </c>
      <c r="U13" s="313" t="s">
        <v>193</v>
      </c>
      <c r="V13" s="306">
        <v>0.30399999999999999</v>
      </c>
      <c r="W13" s="306">
        <v>14.772726730866866</v>
      </c>
      <c r="X13" s="306">
        <v>8.5526315789473681</v>
      </c>
      <c r="Y13" s="305">
        <v>7.5843774173618053E-2</v>
      </c>
      <c r="Z13" s="305">
        <v>0.70338405318495856</v>
      </c>
      <c r="AA13" s="305" t="s">
        <v>193</v>
      </c>
      <c r="AB13" s="305">
        <v>4.4604442027891222</v>
      </c>
      <c r="AC13" s="305">
        <v>1.1792655573120716</v>
      </c>
      <c r="AD13" s="305">
        <v>3.167863139244917</v>
      </c>
      <c r="AE13" s="305" t="s">
        <v>217</v>
      </c>
    </row>
    <row r="14" spans="1:31">
      <c r="A14" s="305" t="s">
        <v>13</v>
      </c>
      <c r="B14" s="305" t="s">
        <v>218</v>
      </c>
      <c r="C14" s="305" t="s">
        <v>219</v>
      </c>
      <c r="D14" s="305" t="s">
        <v>220</v>
      </c>
      <c r="E14" s="306">
        <v>69.75</v>
      </c>
      <c r="F14" s="306">
        <v>77.25</v>
      </c>
      <c r="G14" s="306">
        <v>31.75</v>
      </c>
      <c r="H14" s="307">
        <v>1715700</v>
      </c>
      <c r="I14" s="307">
        <v>2842725</v>
      </c>
      <c r="J14" s="307">
        <v>61.53</v>
      </c>
      <c r="K14" s="307">
        <v>49.378749999999997</v>
      </c>
      <c r="L14" s="308">
        <v>0.88991419999999999</v>
      </c>
      <c r="M14" s="308">
        <v>4.3529410000000004</v>
      </c>
      <c r="N14" s="309">
        <v>9.4314900000000007E-2</v>
      </c>
      <c r="O14" s="306">
        <v>1.2647782013794189</v>
      </c>
      <c r="P14" s="310">
        <v>0.348705385001574</v>
      </c>
      <c r="Q14" s="310">
        <v>0.17221737255900244</v>
      </c>
      <c r="R14" s="306">
        <v>2178.8159999999998</v>
      </c>
      <c r="S14" s="311">
        <v>151.97242187500001</v>
      </c>
      <c r="T14" s="312">
        <v>1.52</v>
      </c>
      <c r="U14" s="313">
        <v>0.44700000000000001</v>
      </c>
      <c r="V14" s="306">
        <v>1.9590000000000001</v>
      </c>
      <c r="W14" s="306">
        <v>45.888157894736842</v>
      </c>
      <c r="X14" s="306">
        <v>35.604900459418069</v>
      </c>
      <c r="Y14" s="305">
        <v>10.600762455527333</v>
      </c>
      <c r="Z14" s="305">
        <v>7.1049354275565459</v>
      </c>
      <c r="AA14" s="305">
        <v>16.480000343956657</v>
      </c>
      <c r="AB14" s="305">
        <v>16.460059755049262</v>
      </c>
      <c r="AC14" s="305">
        <v>5.4141663698486786</v>
      </c>
      <c r="AD14" s="305">
        <v>9.4215260703600112</v>
      </c>
      <c r="AE14" s="305" t="s">
        <v>189</v>
      </c>
    </row>
    <row r="15" spans="1:31">
      <c r="A15" s="305" t="s">
        <v>14</v>
      </c>
      <c r="B15" s="305" t="s">
        <v>221</v>
      </c>
      <c r="C15" s="305" t="s">
        <v>222</v>
      </c>
      <c r="D15" s="305" t="s">
        <v>223</v>
      </c>
      <c r="E15" s="306">
        <v>35.5</v>
      </c>
      <c r="F15" s="306">
        <v>42.25</v>
      </c>
      <c r="G15" s="306">
        <v>29.5</v>
      </c>
      <c r="H15" s="307">
        <v>25385200</v>
      </c>
      <c r="I15" s="307">
        <v>25920370</v>
      </c>
      <c r="J15" s="307">
        <v>33.64</v>
      </c>
      <c r="K15" s="307">
        <v>35.784999999999997</v>
      </c>
      <c r="L15" s="308">
        <v>0.85823240000000001</v>
      </c>
      <c r="M15" s="308">
        <v>4.1724139999999998</v>
      </c>
      <c r="N15" s="309">
        <v>0.53661579999999998</v>
      </c>
      <c r="O15" s="306">
        <v>1.0920228536422354</v>
      </c>
      <c r="P15" s="310">
        <v>0.16308493065238749</v>
      </c>
      <c r="Q15" s="310">
        <v>7.6841572209315853E-2</v>
      </c>
      <c r="R15" s="306">
        <v>7742.942</v>
      </c>
      <c r="S15" s="311">
        <v>274.8744375</v>
      </c>
      <c r="T15" s="312">
        <v>3.4399999999999995</v>
      </c>
      <c r="U15" s="313">
        <v>-0.11</v>
      </c>
      <c r="V15" s="306">
        <v>2.33</v>
      </c>
      <c r="W15" s="306">
        <v>10.319767441860467</v>
      </c>
      <c r="X15" s="306">
        <v>15.236051502145923</v>
      </c>
      <c r="Y15" s="305">
        <v>0.90489730957873593</v>
      </c>
      <c r="Z15" s="305">
        <v>2.6673226764827875</v>
      </c>
      <c r="AA15" s="305">
        <v>30.846379676586814</v>
      </c>
      <c r="AB15" s="305">
        <v>28.883968439976314</v>
      </c>
      <c r="AC15" s="305">
        <v>11.097806539345335</v>
      </c>
      <c r="AD15" s="305">
        <v>15.85731742482343</v>
      </c>
      <c r="AE15" s="305" t="s">
        <v>224</v>
      </c>
    </row>
    <row r="16" spans="1:31">
      <c r="A16" s="305" t="s">
        <v>15</v>
      </c>
      <c r="B16" s="305" t="s">
        <v>225</v>
      </c>
      <c r="C16" s="305" t="s">
        <v>226</v>
      </c>
      <c r="D16" s="305" t="s">
        <v>211</v>
      </c>
      <c r="E16" s="306">
        <v>40.75</v>
      </c>
      <c r="F16" s="306">
        <v>44.75</v>
      </c>
      <c r="G16" s="306">
        <v>22.5</v>
      </c>
      <c r="H16" s="307">
        <v>38643500</v>
      </c>
      <c r="I16" s="307">
        <v>20390210</v>
      </c>
      <c r="J16" s="307">
        <v>36.674999999999997</v>
      </c>
      <c r="K16" s="307">
        <v>34.198120000000003</v>
      </c>
      <c r="L16" s="308">
        <v>0.92460770000000003</v>
      </c>
      <c r="M16" s="308">
        <v>3.6875</v>
      </c>
      <c r="N16" s="309">
        <v>0.6219209</v>
      </c>
      <c r="O16" s="306">
        <v>1.0113582293036762E-4</v>
      </c>
      <c r="P16" s="310">
        <v>0.2477943642152034</v>
      </c>
      <c r="Q16" s="310">
        <v>5.1542067090745929E-2</v>
      </c>
      <c r="R16" s="306">
        <v>8983.1009999999987</v>
      </c>
      <c r="S16" s="311">
        <v>366.061375</v>
      </c>
      <c r="T16" s="312">
        <v>1.0149999999999999</v>
      </c>
      <c r="U16" s="313">
        <v>0.255</v>
      </c>
      <c r="V16" s="306">
        <v>1.1719999999999999</v>
      </c>
      <c r="W16" s="306">
        <v>40.14778325123153</v>
      </c>
      <c r="X16" s="306">
        <v>34.769624573378842</v>
      </c>
      <c r="Y16" s="305">
        <v>2.1815704569923837</v>
      </c>
      <c r="Z16" s="305">
        <v>17.23135806867251</v>
      </c>
      <c r="AA16" s="305">
        <v>20.696574664333944</v>
      </c>
      <c r="AB16" s="305">
        <v>46.920064118677637</v>
      </c>
      <c r="AC16" s="305">
        <v>17.315584641237667</v>
      </c>
      <c r="AD16" s="305">
        <v>46.452828863915762</v>
      </c>
      <c r="AE16" s="305" t="s">
        <v>185</v>
      </c>
    </row>
    <row r="17" spans="1:31">
      <c r="A17" s="305" t="s">
        <v>16</v>
      </c>
      <c r="B17" s="305" t="s">
        <v>227</v>
      </c>
      <c r="C17" s="305" t="s">
        <v>228</v>
      </c>
      <c r="D17" s="305" t="s">
        <v>229</v>
      </c>
      <c r="E17" s="306">
        <v>29.5</v>
      </c>
      <c r="F17" s="306">
        <v>30</v>
      </c>
      <c r="G17" s="306">
        <v>18.2</v>
      </c>
      <c r="H17" s="307">
        <v>2396800</v>
      </c>
      <c r="I17" s="307">
        <v>1027267</v>
      </c>
      <c r="J17" s="307">
        <v>26.268999999999998</v>
      </c>
      <c r="K17" s="307">
        <v>23.759499999999999</v>
      </c>
      <c r="L17" s="308">
        <v>0.81285200000000002</v>
      </c>
      <c r="M17" s="308">
        <v>4</v>
      </c>
      <c r="N17" s="309">
        <v>0.68606669999999992</v>
      </c>
      <c r="O17" s="306">
        <v>5.146985624275624E-2</v>
      </c>
      <c r="P17" s="310">
        <v>0.23524373613522809</v>
      </c>
      <c r="Q17" s="310">
        <v>7.4526803792694274E-2</v>
      </c>
      <c r="R17" s="306">
        <v>1247.3819999999998</v>
      </c>
      <c r="S17" s="311">
        <v>36.797757812500002</v>
      </c>
      <c r="T17" s="312">
        <v>2.41</v>
      </c>
      <c r="U17" s="313">
        <v>0.69000000000000006</v>
      </c>
      <c r="V17" s="306">
        <v>2.7010000000000001</v>
      </c>
      <c r="W17" s="306">
        <v>12.240663900414937</v>
      </c>
      <c r="X17" s="306">
        <v>10.921880784894483</v>
      </c>
      <c r="Y17" s="305">
        <v>0.95569281457833255</v>
      </c>
      <c r="Z17" s="305">
        <v>1.8526064753228573</v>
      </c>
      <c r="AA17" s="305">
        <v>6.447515278766863</v>
      </c>
      <c r="AB17" s="305">
        <v>15.527192620189838</v>
      </c>
      <c r="AC17" s="305">
        <v>9.8705350858139376</v>
      </c>
      <c r="AD17" s="305">
        <v>15.181447138189913</v>
      </c>
      <c r="AE17" s="305" t="s">
        <v>185</v>
      </c>
    </row>
    <row r="18" spans="1:31">
      <c r="A18" s="305" t="s">
        <v>17</v>
      </c>
      <c r="B18" s="305" t="s">
        <v>230</v>
      </c>
      <c r="C18" s="305" t="s">
        <v>231</v>
      </c>
      <c r="D18" s="305" t="s">
        <v>232</v>
      </c>
      <c r="E18" s="306">
        <v>129.5</v>
      </c>
      <c r="F18" s="306">
        <v>138</v>
      </c>
      <c r="G18" s="306">
        <v>85.75</v>
      </c>
      <c r="H18" s="307">
        <v>721400</v>
      </c>
      <c r="I18" s="307">
        <v>642867.19999999995</v>
      </c>
      <c r="J18" s="307">
        <v>127.34</v>
      </c>
      <c r="K18" s="307">
        <v>107.8875</v>
      </c>
      <c r="L18" s="308">
        <v>0.4530518</v>
      </c>
      <c r="M18" s="308">
        <v>3.947368</v>
      </c>
      <c r="N18" s="309">
        <v>6.5241099999999996E-2</v>
      </c>
      <c r="O18" s="306">
        <v>0.2079600950693021</v>
      </c>
      <c r="P18" s="310">
        <v>0.2704943235561631</v>
      </c>
      <c r="Q18" s="310">
        <v>0.65128723872855954</v>
      </c>
      <c r="R18" s="306">
        <v>526.46500000000003</v>
      </c>
      <c r="S18" s="311">
        <v>68.177218749999994</v>
      </c>
      <c r="T18" s="312">
        <v>18.97</v>
      </c>
      <c r="U18" s="313">
        <v>3.8970000000000002</v>
      </c>
      <c r="V18" s="306">
        <v>13.702999999999999</v>
      </c>
      <c r="W18" s="306">
        <v>6.8265682656826572</v>
      </c>
      <c r="X18" s="306">
        <v>9.450485295190834</v>
      </c>
      <c r="Y18" s="305">
        <v>8.2039119896380654</v>
      </c>
      <c r="Z18" s="305">
        <v>1.0323804785328781</v>
      </c>
      <c r="AA18" s="305">
        <v>7.0036623134333009</v>
      </c>
      <c r="AB18" s="305">
        <v>16.309801264485916</v>
      </c>
      <c r="AC18" s="305">
        <v>11.407245389746164</v>
      </c>
      <c r="AD18" s="305">
        <v>12.813733943793656</v>
      </c>
      <c r="AE18" s="305" t="s">
        <v>189</v>
      </c>
    </row>
    <row r="19" spans="1:31">
      <c r="A19" s="305" t="s">
        <v>18</v>
      </c>
      <c r="B19" s="305" t="s">
        <v>233</v>
      </c>
      <c r="C19" s="305" t="s">
        <v>234</v>
      </c>
      <c r="D19" s="305" t="s">
        <v>232</v>
      </c>
      <c r="E19" s="306">
        <v>71.25</v>
      </c>
      <c r="F19" s="306">
        <v>73</v>
      </c>
      <c r="G19" s="306">
        <v>50</v>
      </c>
      <c r="H19" s="307">
        <v>598500</v>
      </c>
      <c r="I19" s="307">
        <v>774328.1</v>
      </c>
      <c r="J19" s="307">
        <v>66.924999999999997</v>
      </c>
      <c r="K19" s="307">
        <v>61.001249999999999</v>
      </c>
      <c r="L19" s="308">
        <v>0.72307109999999997</v>
      </c>
      <c r="M19" s="308">
        <v>3.5555560000000002</v>
      </c>
      <c r="N19" s="309">
        <v>0.56504350000000003</v>
      </c>
      <c r="O19" s="306">
        <v>2.1515137528003896</v>
      </c>
      <c r="P19" s="310">
        <v>0.16404505409536208</v>
      </c>
      <c r="Q19" s="310">
        <v>8.6582218620193996E-2</v>
      </c>
      <c r="R19" s="306">
        <v>1462.865</v>
      </c>
      <c r="S19" s="311">
        <v>104.2291328125</v>
      </c>
      <c r="T19" s="312">
        <v>3.17</v>
      </c>
      <c r="U19" s="313">
        <v>1.5649999999999999</v>
      </c>
      <c r="V19" s="306">
        <v>3.8040000000000003</v>
      </c>
      <c r="W19" s="306">
        <v>22.476340694006311</v>
      </c>
      <c r="X19" s="306">
        <v>18.730283911671922</v>
      </c>
      <c r="Y19" s="305">
        <v>2.0453486954049582</v>
      </c>
      <c r="Z19" s="305">
        <v>2.9603243581264471</v>
      </c>
      <c r="AA19" s="305">
        <v>41.314387106303109</v>
      </c>
      <c r="AB19" s="305">
        <v>13.500836418681233</v>
      </c>
      <c r="AC19" s="305">
        <v>3.7134039792904696</v>
      </c>
      <c r="AD19" s="305">
        <v>6.0835343956421459</v>
      </c>
      <c r="AE19" s="305" t="s">
        <v>189</v>
      </c>
    </row>
    <row r="20" spans="1:31">
      <c r="A20" s="305" t="s">
        <v>19</v>
      </c>
      <c r="B20" s="305" t="s">
        <v>235</v>
      </c>
      <c r="C20" s="305" t="s">
        <v>236</v>
      </c>
      <c r="D20" s="305" t="s">
        <v>229</v>
      </c>
      <c r="E20" s="306">
        <v>21.9</v>
      </c>
      <c r="F20" s="306">
        <v>23.2</v>
      </c>
      <c r="G20" s="306">
        <v>17.100000000000001</v>
      </c>
      <c r="H20" s="307">
        <v>87000</v>
      </c>
      <c r="I20" s="307">
        <v>307550</v>
      </c>
      <c r="J20" s="307">
        <v>21.222000000000001</v>
      </c>
      <c r="K20" s="307">
        <v>20.567499999999999</v>
      </c>
      <c r="L20" s="308">
        <v>0.65758439999999996</v>
      </c>
      <c r="M20" s="308">
        <v>3.4375</v>
      </c>
      <c r="N20" s="309">
        <v>0.33766809999999997</v>
      </c>
      <c r="O20" s="306">
        <v>2.6654080359743114E-3</v>
      </c>
      <c r="P20" s="310">
        <v>0.12586942356984065</v>
      </c>
      <c r="Q20" s="310">
        <v>9.9177183694479518E-2</v>
      </c>
      <c r="R20" s="306">
        <v>804.87889999999993</v>
      </c>
      <c r="S20" s="311">
        <v>17.62684765625</v>
      </c>
      <c r="T20" s="312">
        <v>1.65</v>
      </c>
      <c r="U20" s="313">
        <v>0.49</v>
      </c>
      <c r="V20" s="306">
        <v>1.9850000000000001</v>
      </c>
      <c r="W20" s="306">
        <v>13.2727270415335</v>
      </c>
      <c r="X20" s="306">
        <v>11.032745591939545</v>
      </c>
      <c r="Y20" s="305">
        <v>1.0465552392123616</v>
      </c>
      <c r="Z20" s="305">
        <v>1.2065782893808197</v>
      </c>
      <c r="AA20" s="305">
        <v>6.4507427323253559</v>
      </c>
      <c r="AB20" s="305">
        <v>9.3964737682615098</v>
      </c>
      <c r="AC20" s="305">
        <v>7.4950338220933475</v>
      </c>
      <c r="AD20" s="305">
        <v>9.4477425544898921</v>
      </c>
      <c r="AE20" s="305" t="s">
        <v>185</v>
      </c>
    </row>
    <row r="21" spans="1:31">
      <c r="A21" s="305" t="s">
        <v>20</v>
      </c>
      <c r="B21" s="305" t="s">
        <v>237</v>
      </c>
      <c r="C21" s="305" t="s">
        <v>238</v>
      </c>
      <c r="D21" s="305" t="s">
        <v>239</v>
      </c>
      <c r="E21" s="306">
        <v>4.26</v>
      </c>
      <c r="F21" s="306">
        <v>4.92</v>
      </c>
      <c r="G21" s="306">
        <v>3.46</v>
      </c>
      <c r="H21" s="307">
        <v>56708500</v>
      </c>
      <c r="I21" s="307">
        <v>70622100</v>
      </c>
      <c r="J21" s="307">
        <v>4.1584000000000003</v>
      </c>
      <c r="K21" s="307">
        <v>4.1646999999999998</v>
      </c>
      <c r="L21" s="308">
        <v>1.5476179999999999</v>
      </c>
      <c r="M21" s="308">
        <v>3.6956519999999999</v>
      </c>
      <c r="N21" s="309">
        <v>0.61095089999999996</v>
      </c>
      <c r="O21" s="306">
        <v>0.40649155675226339</v>
      </c>
      <c r="P21" s="310">
        <v>4.6161937919331993E-2</v>
      </c>
      <c r="Q21" s="310">
        <v>1.6634139271024282E-2</v>
      </c>
      <c r="R21" s="306">
        <v>20434.419999999998</v>
      </c>
      <c r="S21" s="311">
        <v>87.050632812499998</v>
      </c>
      <c r="T21" s="312">
        <v>-0.158</v>
      </c>
      <c r="U21" s="313">
        <v>0.1</v>
      </c>
      <c r="V21" s="306">
        <v>0.15</v>
      </c>
      <c r="W21" s="306" t="s">
        <v>193</v>
      </c>
      <c r="X21" s="306">
        <v>28.4</v>
      </c>
      <c r="Y21" s="305">
        <v>0.31641180785443324</v>
      </c>
      <c r="Z21" s="305">
        <v>1.1750137372736116</v>
      </c>
      <c r="AA21" s="305">
        <v>7.0747413994906916</v>
      </c>
      <c r="AB21" s="305">
        <v>-4.1669937754053983</v>
      </c>
      <c r="AC21" s="305">
        <v>-2.2254306406772222</v>
      </c>
      <c r="AD21" s="305" t="s">
        <v>193</v>
      </c>
      <c r="AE21" s="305" t="s">
        <v>185</v>
      </c>
    </row>
    <row r="22" spans="1:31">
      <c r="A22" s="305" t="s">
        <v>21</v>
      </c>
      <c r="B22" s="305" t="s">
        <v>240</v>
      </c>
      <c r="C22" s="305" t="s">
        <v>241</v>
      </c>
      <c r="D22" s="305" t="s">
        <v>188</v>
      </c>
      <c r="E22" s="306">
        <v>4.0599999999999996</v>
      </c>
      <c r="F22" s="306">
        <v>4.1399999999999997</v>
      </c>
      <c r="G22" s="306">
        <v>3.04</v>
      </c>
      <c r="H22" s="307">
        <v>46874500</v>
      </c>
      <c r="I22" s="307">
        <v>44400490</v>
      </c>
      <c r="J22" s="307">
        <v>3.7216</v>
      </c>
      <c r="K22" s="307">
        <v>3.5108000000000001</v>
      </c>
      <c r="L22" s="308">
        <v>1.252907</v>
      </c>
      <c r="M22" s="308">
        <v>2.941176</v>
      </c>
      <c r="N22" s="309">
        <v>2.735545E-2</v>
      </c>
      <c r="O22" s="306">
        <v>3.0044250693349004</v>
      </c>
      <c r="P22" s="310">
        <v>7.1366373862802202E-2</v>
      </c>
      <c r="Q22" s="310">
        <v>-3.8385614582672513E-2</v>
      </c>
      <c r="R22" s="306">
        <v>4193.6779999999999</v>
      </c>
      <c r="S22" s="311">
        <v>17.026333984375</v>
      </c>
      <c r="T22" s="312">
        <v>-0.32297999999999999</v>
      </c>
      <c r="U22" s="313" t="s">
        <v>193</v>
      </c>
      <c r="V22" s="306">
        <v>0.11</v>
      </c>
      <c r="W22" s="306" t="s">
        <v>193</v>
      </c>
      <c r="X22" s="306">
        <v>36.909090909090907</v>
      </c>
      <c r="Y22" s="305">
        <v>0.38811377561443511</v>
      </c>
      <c r="Z22" s="305">
        <v>2.1714414450293775</v>
      </c>
      <c r="AA22" s="305" t="s">
        <v>193</v>
      </c>
      <c r="AB22" s="305">
        <v>-15.771488007115057</v>
      </c>
      <c r="AC22" s="305">
        <v>-2.5016504280997043</v>
      </c>
      <c r="AD22" s="305" t="s">
        <v>193</v>
      </c>
      <c r="AE22" s="305" t="s">
        <v>200</v>
      </c>
    </row>
    <row r="23" spans="1:31">
      <c r="A23" s="305" t="s">
        <v>22</v>
      </c>
      <c r="B23" s="305" t="s">
        <v>242</v>
      </c>
      <c r="C23" s="305" t="s">
        <v>243</v>
      </c>
      <c r="D23" s="305" t="s">
        <v>192</v>
      </c>
      <c r="E23" s="306">
        <v>177.5</v>
      </c>
      <c r="F23" s="306">
        <v>188</v>
      </c>
      <c r="G23" s="306">
        <v>109</v>
      </c>
      <c r="H23" s="307">
        <v>3154600</v>
      </c>
      <c r="I23" s="307">
        <v>4425166</v>
      </c>
      <c r="J23" s="307">
        <v>177.85</v>
      </c>
      <c r="K23" s="307">
        <v>159.035</v>
      </c>
      <c r="L23" s="308">
        <v>1.146595</v>
      </c>
      <c r="M23" s="308">
        <v>4.7647060000000003</v>
      </c>
      <c r="N23" s="309">
        <v>0.1889084</v>
      </c>
      <c r="O23" s="306">
        <v>0.88731152690429971</v>
      </c>
      <c r="P23" s="310" t="e">
        <v>#VALUE!</v>
      </c>
      <c r="Q23" s="310">
        <v>0.18971980931291249</v>
      </c>
      <c r="R23" s="306">
        <v>2393.2599999999998</v>
      </c>
      <c r="S23" s="311">
        <v>424.80368750000002</v>
      </c>
      <c r="T23" s="312">
        <v>12.79</v>
      </c>
      <c r="U23" s="313">
        <v>4.54</v>
      </c>
      <c r="V23" s="306">
        <v>14.759</v>
      </c>
      <c r="W23" s="306">
        <v>13.878029710711495</v>
      </c>
      <c r="X23" s="306">
        <v>12.026560065045057</v>
      </c>
      <c r="Y23" s="305">
        <v>2.4061005112098375</v>
      </c>
      <c r="Z23" s="305">
        <v>2.3785394858234623</v>
      </c>
      <c r="AA23" s="305">
        <v>5.9764589753874011</v>
      </c>
      <c r="AB23" s="305">
        <v>18.641024432019421</v>
      </c>
      <c r="AC23" s="305">
        <v>1.6176408244610117</v>
      </c>
      <c r="AD23" s="305">
        <v>8.6893192117595444</v>
      </c>
      <c r="AE23" s="305" t="s">
        <v>193</v>
      </c>
    </row>
    <row r="24" spans="1:31">
      <c r="A24" s="305" t="s">
        <v>23</v>
      </c>
      <c r="B24" s="305" t="s">
        <v>244</v>
      </c>
      <c r="C24" s="305" t="s">
        <v>245</v>
      </c>
      <c r="D24" s="305" t="s">
        <v>223</v>
      </c>
      <c r="E24" s="306">
        <v>13.4</v>
      </c>
      <c r="F24" s="306">
        <v>14.9</v>
      </c>
      <c r="G24" s="306">
        <v>11.3</v>
      </c>
      <c r="H24" s="307">
        <v>622500</v>
      </c>
      <c r="I24" s="307">
        <v>1629078</v>
      </c>
      <c r="J24" s="307">
        <v>13.01</v>
      </c>
      <c r="K24" s="307">
        <v>13.226000000000001</v>
      </c>
      <c r="L24" s="308">
        <v>0.96635990000000005</v>
      </c>
      <c r="M24" s="308">
        <v>4.7647060000000003</v>
      </c>
      <c r="N24" s="309">
        <v>0.40211530000000001</v>
      </c>
      <c r="O24" s="306">
        <v>1.2379263448058087</v>
      </c>
      <c r="P24" s="310">
        <v>0.29547211704155008</v>
      </c>
      <c r="Q24" s="310">
        <v>0.11481862513684091</v>
      </c>
      <c r="R24" s="306">
        <v>1575.768</v>
      </c>
      <c r="S24" s="311">
        <v>21.115291015625001</v>
      </c>
      <c r="T24" s="312">
        <v>1.486</v>
      </c>
      <c r="U24" s="313" t="s">
        <v>193</v>
      </c>
      <c r="V24" s="306">
        <v>1.2869999999999999</v>
      </c>
      <c r="W24" s="306">
        <v>9.0174963785533464</v>
      </c>
      <c r="X24" s="306">
        <v>10.411810411810412</v>
      </c>
      <c r="Y24" s="305">
        <v>0.94270163370925852</v>
      </c>
      <c r="Z24" s="305">
        <v>2.0150750808896554</v>
      </c>
      <c r="AA24" s="305">
        <v>5.4764647185133253</v>
      </c>
      <c r="AB24" s="305">
        <v>23.517995058588724</v>
      </c>
      <c r="AC24" s="305">
        <v>8.2779900228394361</v>
      </c>
      <c r="AD24" s="305">
        <v>11.569936369359976</v>
      </c>
      <c r="AE24" s="305" t="s">
        <v>217</v>
      </c>
    </row>
    <row r="25" spans="1:31">
      <c r="A25" s="305" t="s">
        <v>24</v>
      </c>
      <c r="B25" s="305" t="s">
        <v>246</v>
      </c>
      <c r="C25" s="305" t="s">
        <v>247</v>
      </c>
      <c r="D25" s="305" t="s">
        <v>192</v>
      </c>
      <c r="E25" s="306">
        <v>18.399999999999999</v>
      </c>
      <c r="F25" s="306">
        <v>19.3</v>
      </c>
      <c r="G25" s="306">
        <v>13.170949999999999</v>
      </c>
      <c r="H25" s="307">
        <v>21206700</v>
      </c>
      <c r="I25" s="307">
        <v>38054720</v>
      </c>
      <c r="J25" s="307">
        <v>17.8828</v>
      </c>
      <c r="K25" s="307">
        <v>16.129339999999999</v>
      </c>
      <c r="L25" s="308">
        <v>1.2855270000000001</v>
      </c>
      <c r="M25" s="308">
        <v>4.3888889999999998</v>
      </c>
      <c r="N25" s="309">
        <v>0.53301799999999999</v>
      </c>
      <c r="O25" s="306">
        <v>3.6518747378584346</v>
      </c>
      <c r="P25" s="310" t="e">
        <v>#VALUE!</v>
      </c>
      <c r="Q25" s="310">
        <v>0.24095948625130725</v>
      </c>
      <c r="R25" s="306">
        <v>13976.06</v>
      </c>
      <c r="S25" s="311">
        <v>257.15951562499998</v>
      </c>
      <c r="T25" s="312">
        <v>2.0230166137218477</v>
      </c>
      <c r="U25" s="313">
        <v>0.56000000000000005</v>
      </c>
      <c r="V25" s="306">
        <v>2.0739999999999998</v>
      </c>
      <c r="W25" s="306">
        <v>9.0953279838265129</v>
      </c>
      <c r="X25" s="306">
        <v>8.871745419479268</v>
      </c>
      <c r="Y25" s="305">
        <v>1.9981530172171258</v>
      </c>
      <c r="Z25" s="305">
        <v>1.5888881843685985</v>
      </c>
      <c r="AA25" s="305" t="s">
        <v>193</v>
      </c>
      <c r="AB25" s="305">
        <v>15.461459077597311</v>
      </c>
      <c r="AC25" s="305">
        <v>1.0042968038859523</v>
      </c>
      <c r="AD25" s="305">
        <v>4.1137476914290492</v>
      </c>
      <c r="AE25" s="305" t="s">
        <v>193</v>
      </c>
    </row>
    <row r="26" spans="1:31">
      <c r="A26" s="305" t="s">
        <v>25</v>
      </c>
      <c r="B26" s="305" t="s">
        <v>248</v>
      </c>
      <c r="C26" s="305" t="s">
        <v>249</v>
      </c>
      <c r="D26" s="305" t="s">
        <v>250</v>
      </c>
      <c r="E26" s="306">
        <v>8.6999999999999993</v>
      </c>
      <c r="F26" s="306">
        <v>9.1999999999999993</v>
      </c>
      <c r="G26" s="306">
        <v>5.55</v>
      </c>
      <c r="H26" s="307">
        <v>20229100</v>
      </c>
      <c r="I26" s="307">
        <v>15905880</v>
      </c>
      <c r="J26" s="307">
        <v>8.5570000000000004</v>
      </c>
      <c r="K26" s="307">
        <v>7.6057499999999996</v>
      </c>
      <c r="L26" s="308">
        <v>1.2058359999999999</v>
      </c>
      <c r="M26" s="308">
        <v>3.9</v>
      </c>
      <c r="N26" s="309">
        <v>0.245641</v>
      </c>
      <c r="O26" s="306">
        <v>0.90837866364202347</v>
      </c>
      <c r="P26" s="310">
        <v>0.32490560519873024</v>
      </c>
      <c r="Q26" s="310">
        <v>0.2916707060886784</v>
      </c>
      <c r="R26" s="306">
        <v>10025.92</v>
      </c>
      <c r="S26" s="311">
        <v>87.225515625</v>
      </c>
      <c r="T26" s="312">
        <v>0.52</v>
      </c>
      <c r="U26" s="313">
        <v>0.115</v>
      </c>
      <c r="V26" s="306">
        <v>0.46300000000000002</v>
      </c>
      <c r="W26" s="306">
        <v>16.730768863971416</v>
      </c>
      <c r="X26" s="306">
        <v>18.790496760259177</v>
      </c>
      <c r="Y26" s="305">
        <v>4.1169767399600437</v>
      </c>
      <c r="Z26" s="305">
        <v>2.8044760535912108</v>
      </c>
      <c r="AA26" s="305">
        <v>45.55785238824317</v>
      </c>
      <c r="AB26" s="305">
        <v>17.234179268384107</v>
      </c>
      <c r="AC26" s="305">
        <v>8.3745300275584444</v>
      </c>
      <c r="AD26" s="305">
        <v>9.778726030741975</v>
      </c>
      <c r="AE26" s="305" t="s">
        <v>224</v>
      </c>
    </row>
    <row r="27" spans="1:31">
      <c r="A27" s="305" t="s">
        <v>26</v>
      </c>
      <c r="B27" s="305" t="s">
        <v>251</v>
      </c>
      <c r="C27" s="305" t="s">
        <v>252</v>
      </c>
      <c r="D27" s="305" t="s">
        <v>208</v>
      </c>
      <c r="E27" s="306">
        <v>34.75</v>
      </c>
      <c r="F27" s="306">
        <v>35</v>
      </c>
      <c r="G27" s="306">
        <v>25</v>
      </c>
      <c r="H27" s="307">
        <v>5178500</v>
      </c>
      <c r="I27" s="307">
        <v>974900</v>
      </c>
      <c r="J27" s="307">
        <v>30.93</v>
      </c>
      <c r="K27" s="307">
        <v>29.245000000000001</v>
      </c>
      <c r="L27" s="308">
        <v>0.67035429999999996</v>
      </c>
      <c r="M27" s="308">
        <v>3.8</v>
      </c>
      <c r="N27" s="309">
        <v>0.83620090000000002</v>
      </c>
      <c r="O27" s="306">
        <v>1.7025500120968703E-3</v>
      </c>
      <c r="P27" s="310">
        <v>0.57531013278460974</v>
      </c>
      <c r="Q27" s="310">
        <v>0.26483922016835099</v>
      </c>
      <c r="R27" s="306">
        <v>687.0992</v>
      </c>
      <c r="S27" s="311">
        <v>23.876697265625001</v>
      </c>
      <c r="T27" s="312">
        <v>1.9040059999999999</v>
      </c>
      <c r="U27" s="313">
        <v>0.69000000000000006</v>
      </c>
      <c r="V27" s="306">
        <v>2.3559999999999999</v>
      </c>
      <c r="W27" s="306">
        <v>18.250992906534961</v>
      </c>
      <c r="X27" s="306">
        <v>14.749575551782684</v>
      </c>
      <c r="Y27" s="305">
        <v>4.7002241050307179</v>
      </c>
      <c r="Z27" s="305">
        <v>3.0984280476582757</v>
      </c>
      <c r="AA27" s="305">
        <v>8.9208741085286452</v>
      </c>
      <c r="AB27" s="305">
        <v>16.659743778718607</v>
      </c>
      <c r="AC27" s="305">
        <v>12.060513651269433</v>
      </c>
      <c r="AD27" s="305">
        <v>16.818230617175583</v>
      </c>
      <c r="AE27" s="305" t="s">
        <v>185</v>
      </c>
    </row>
    <row r="28" spans="1:31">
      <c r="A28" s="305" t="s">
        <v>27</v>
      </c>
      <c r="B28" s="305" t="s">
        <v>253</v>
      </c>
      <c r="C28" s="305" t="s">
        <v>254</v>
      </c>
      <c r="D28" s="305" t="s">
        <v>211</v>
      </c>
      <c r="E28" s="306">
        <v>18.7</v>
      </c>
      <c r="F28" s="306">
        <v>18.899999999999999</v>
      </c>
      <c r="G28" s="306">
        <v>9.1818179999999998</v>
      </c>
      <c r="H28" s="307">
        <v>7282700</v>
      </c>
      <c r="I28" s="307">
        <v>9550177</v>
      </c>
      <c r="J28" s="307">
        <v>16.489999999999998</v>
      </c>
      <c r="K28" s="307">
        <v>13.99273</v>
      </c>
      <c r="L28" s="308">
        <v>1.0987389999999999</v>
      </c>
      <c r="M28" s="308">
        <v>4.2727269999999997</v>
      </c>
      <c r="N28" s="309">
        <v>0.19214700000000001</v>
      </c>
      <c r="O28" s="306">
        <v>1.3798026408901078</v>
      </c>
      <c r="P28" s="310">
        <v>0.56890960363888909</v>
      </c>
      <c r="Q28" s="310">
        <v>0.11019494990506412</v>
      </c>
      <c r="R28" s="306">
        <v>3663.0699999999997</v>
      </c>
      <c r="S28" s="311">
        <v>68.499414062499994</v>
      </c>
      <c r="T28" s="312">
        <v>0.91568184247612971</v>
      </c>
      <c r="U28" s="313">
        <v>0.3</v>
      </c>
      <c r="V28" s="306">
        <v>0.80600000000000005</v>
      </c>
      <c r="W28" s="306">
        <v>20.421941219640303</v>
      </c>
      <c r="X28" s="306">
        <v>23.200992555831263</v>
      </c>
      <c r="Y28" s="305">
        <v>2.343070972937555</v>
      </c>
      <c r="Z28" s="305">
        <v>4.3364151846370396</v>
      </c>
      <c r="AA28" s="305">
        <v>16.008806798160311</v>
      </c>
      <c r="AB28" s="305">
        <v>23.371487837885802</v>
      </c>
      <c r="AC28" s="305">
        <v>8.120989846370783</v>
      </c>
      <c r="AD28" s="305">
        <v>12.223834108405587</v>
      </c>
      <c r="AE28" s="305" t="s">
        <v>224</v>
      </c>
    </row>
    <row r="29" spans="1:31">
      <c r="A29" s="305" t="s">
        <v>28</v>
      </c>
      <c r="B29" s="305" t="s">
        <v>255</v>
      </c>
      <c r="C29" s="305" t="s">
        <v>256</v>
      </c>
      <c r="D29" s="305" t="s">
        <v>257</v>
      </c>
      <c r="E29" s="306">
        <v>13.5</v>
      </c>
      <c r="F29" s="306">
        <v>17.600000000000001</v>
      </c>
      <c r="G29" s="306">
        <v>13.1</v>
      </c>
      <c r="H29" s="307">
        <v>806900</v>
      </c>
      <c r="I29" s="307">
        <v>995118.8</v>
      </c>
      <c r="J29" s="307">
        <v>13.436</v>
      </c>
      <c r="K29" s="307">
        <v>14.894</v>
      </c>
      <c r="L29" s="308">
        <v>0.88721729999999999</v>
      </c>
      <c r="M29" s="308">
        <v>2.714286</v>
      </c>
      <c r="N29" s="309">
        <v>0.40044279999999999</v>
      </c>
      <c r="O29" s="306">
        <v>0.45853978245890376</v>
      </c>
      <c r="P29" s="310">
        <v>0.56582875310161895</v>
      </c>
      <c r="Q29" s="310">
        <v>0.23300278261235705</v>
      </c>
      <c r="R29" s="306">
        <v>1039.521</v>
      </c>
      <c r="S29" s="311">
        <v>14.033528320312501</v>
      </c>
      <c r="T29" s="312">
        <v>0.18849399999999999</v>
      </c>
      <c r="U29" s="313">
        <v>0.32</v>
      </c>
      <c r="V29" s="306">
        <v>0.126</v>
      </c>
      <c r="W29" s="306">
        <v>71.620316827060805</v>
      </c>
      <c r="X29" s="306">
        <v>107.14285714285714</v>
      </c>
      <c r="Y29" s="305">
        <v>4.1245133427501406</v>
      </c>
      <c r="Z29" s="305">
        <v>0.95226020119463339</v>
      </c>
      <c r="AA29" s="305">
        <v>22.924360912659463</v>
      </c>
      <c r="AB29" s="305">
        <v>1.3364671944723996</v>
      </c>
      <c r="AC29" s="305">
        <v>0.93900670125010832</v>
      </c>
      <c r="AD29" s="305">
        <v>3.3306162355201376</v>
      </c>
      <c r="AE29" s="305" t="s">
        <v>217</v>
      </c>
    </row>
    <row r="30" spans="1:31">
      <c r="A30" s="305" t="s">
        <v>29</v>
      </c>
      <c r="B30" s="305" t="s">
        <v>258</v>
      </c>
      <c r="C30" s="305" t="s">
        <v>259</v>
      </c>
      <c r="D30" s="305" t="s">
        <v>220</v>
      </c>
      <c r="E30" s="306">
        <v>19.5</v>
      </c>
      <c r="F30" s="306">
        <v>20.8</v>
      </c>
      <c r="G30" s="306">
        <v>10.4</v>
      </c>
      <c r="H30" s="307">
        <v>2966500</v>
      </c>
      <c r="I30" s="307">
        <v>7554242</v>
      </c>
      <c r="J30" s="307">
        <v>18.536000000000001</v>
      </c>
      <c r="K30" s="307">
        <v>16.093499999999999</v>
      </c>
      <c r="L30" s="308">
        <v>1.2442299999999999</v>
      </c>
      <c r="M30" s="308">
        <v>4.0967739999999999</v>
      </c>
      <c r="N30" s="309">
        <v>4.5547419999999998E-2</v>
      </c>
      <c r="O30" s="306">
        <v>1.1948075899862471</v>
      </c>
      <c r="P30" s="310">
        <v>0.3670419319319061</v>
      </c>
      <c r="Q30" s="310">
        <v>0.12185952280330768</v>
      </c>
      <c r="R30" s="306">
        <v>2211.192</v>
      </c>
      <c r="S30" s="311">
        <v>43.118242187500002</v>
      </c>
      <c r="T30" s="312">
        <v>1.2409999999999999</v>
      </c>
      <c r="U30" s="313">
        <v>0.47000000000000003</v>
      </c>
      <c r="V30" s="306">
        <v>1.653</v>
      </c>
      <c r="W30" s="306">
        <v>15.713134568896052</v>
      </c>
      <c r="X30" s="306">
        <v>11.796733212341197</v>
      </c>
      <c r="Y30" s="305">
        <v>1.9073646074582389</v>
      </c>
      <c r="Z30" s="305">
        <v>2.4252727661216831</v>
      </c>
      <c r="AA30" s="305">
        <v>53.782461663155978</v>
      </c>
      <c r="AB30" s="305">
        <v>16.350264807623777</v>
      </c>
      <c r="AC30" s="305">
        <v>6.610761903695539</v>
      </c>
      <c r="AD30" s="305">
        <v>8.1881963750950959</v>
      </c>
      <c r="AE30" s="305" t="s">
        <v>224</v>
      </c>
    </row>
    <row r="31" spans="1:31">
      <c r="A31" s="314" t="s">
        <v>30</v>
      </c>
      <c r="B31" s="314" t="s">
        <v>260</v>
      </c>
      <c r="C31" s="314" t="s">
        <v>261</v>
      </c>
      <c r="D31" s="315" t="s">
        <v>262</v>
      </c>
      <c r="E31" s="316">
        <v>169</v>
      </c>
      <c r="F31" s="316">
        <v>187</v>
      </c>
      <c r="G31" s="316">
        <v>147.5</v>
      </c>
      <c r="H31" s="317">
        <v>5814600</v>
      </c>
      <c r="I31" s="317">
        <v>3838036</v>
      </c>
      <c r="J31" s="318">
        <v>156.5</v>
      </c>
      <c r="K31" s="318">
        <v>166.7825</v>
      </c>
      <c r="L31" s="319">
        <v>1.021007</v>
      </c>
      <c r="M31" s="319">
        <v>4.0263159999999996</v>
      </c>
      <c r="N31" s="320">
        <v>0.77956590000000003</v>
      </c>
      <c r="O31" s="316">
        <v>0.61365192973574456</v>
      </c>
      <c r="P31" s="321">
        <v>0.77156858281190055</v>
      </c>
      <c r="Q31" s="321">
        <v>0.26377340987255976</v>
      </c>
      <c r="R31" s="316">
        <v>3319.9849999999997</v>
      </c>
      <c r="S31" s="322">
        <v>561.0775625</v>
      </c>
      <c r="T31" s="323">
        <v>17.66</v>
      </c>
      <c r="U31" s="324">
        <v>4.3250000000000002</v>
      </c>
      <c r="V31" s="316">
        <v>16.521000000000001</v>
      </c>
      <c r="W31" s="316">
        <v>9.5696489241223102</v>
      </c>
      <c r="X31" s="316">
        <v>10.229404999697355</v>
      </c>
      <c r="Y31" s="315">
        <v>2.7775121552936159</v>
      </c>
      <c r="Z31" s="315">
        <v>2.498855182172921</v>
      </c>
      <c r="AA31" s="315">
        <v>6.3753989711951142</v>
      </c>
      <c r="AB31" s="315">
        <v>28.870402990431636</v>
      </c>
      <c r="AC31" s="315">
        <v>12.391680827981471</v>
      </c>
      <c r="AD31" s="315">
        <v>17.605670067244837</v>
      </c>
      <c r="AE31" s="314" t="s">
        <v>185</v>
      </c>
    </row>
    <row r="32" spans="1:31">
      <c r="A32" s="314" t="s">
        <v>31</v>
      </c>
      <c r="B32" s="314" t="s">
        <v>263</v>
      </c>
      <c r="C32" s="314" t="s">
        <v>264</v>
      </c>
      <c r="D32" s="315" t="s">
        <v>262</v>
      </c>
      <c r="E32" s="316">
        <v>322</v>
      </c>
      <c r="F32" s="316">
        <v>369</v>
      </c>
      <c r="G32" s="316">
        <v>290</v>
      </c>
      <c r="H32" s="317">
        <v>5968100</v>
      </c>
      <c r="I32" s="317">
        <v>3499692</v>
      </c>
      <c r="J32" s="318">
        <v>325.24</v>
      </c>
      <c r="K32" s="318">
        <v>334.15499999999997</v>
      </c>
      <c r="L32" s="319">
        <v>1.140053</v>
      </c>
      <c r="M32" s="319">
        <v>4.53125</v>
      </c>
      <c r="N32" s="320">
        <v>0.71158100000000002</v>
      </c>
      <c r="O32" s="316">
        <v>0.73378003226129163</v>
      </c>
      <c r="P32" s="321">
        <v>8.1229816720724712E-2</v>
      </c>
      <c r="Q32" s="321">
        <v>4.3364607773886149E-2</v>
      </c>
      <c r="R32" s="316">
        <v>2856.2999999999997</v>
      </c>
      <c r="S32" s="322">
        <v>919.72850000000005</v>
      </c>
      <c r="T32" s="323">
        <v>29.464000000000002</v>
      </c>
      <c r="U32" s="324">
        <v>9.6929999999999996</v>
      </c>
      <c r="V32" s="316">
        <v>37.500999999999998</v>
      </c>
      <c r="W32" s="316">
        <v>10.928590822698887</v>
      </c>
      <c r="X32" s="316">
        <v>8.5864376949948014</v>
      </c>
      <c r="Y32" s="315">
        <v>0.3512107620550432</v>
      </c>
      <c r="Z32" s="315">
        <v>1.5787006270020398</v>
      </c>
      <c r="AA32" s="315">
        <v>5.6919058089696364</v>
      </c>
      <c r="AB32" s="315">
        <v>15.190166858857582</v>
      </c>
      <c r="AC32" s="315">
        <v>5.8977763605606492</v>
      </c>
      <c r="AD32" s="315">
        <v>10.812569231823757</v>
      </c>
      <c r="AE32" s="314" t="s">
        <v>185</v>
      </c>
    </row>
    <row r="33" spans="1:31">
      <c r="A33" s="314" t="s">
        <v>32</v>
      </c>
      <c r="B33" s="314" t="s">
        <v>265</v>
      </c>
      <c r="C33" s="314" t="s">
        <v>266</v>
      </c>
      <c r="D33" s="315" t="s">
        <v>232</v>
      </c>
      <c r="E33" s="316">
        <v>54.75</v>
      </c>
      <c r="F33" s="316">
        <v>55</v>
      </c>
      <c r="G33" s="316">
        <v>40</v>
      </c>
      <c r="H33" s="317">
        <v>786500</v>
      </c>
      <c r="I33" s="317">
        <v>1219617</v>
      </c>
      <c r="J33" s="318">
        <v>50.24</v>
      </c>
      <c r="K33" s="318">
        <v>44.871250000000003</v>
      </c>
      <c r="L33" s="319">
        <v>0.53265090000000004</v>
      </c>
      <c r="M33" s="319">
        <v>3.7777780000000001</v>
      </c>
      <c r="N33" s="320">
        <v>0.1259081</v>
      </c>
      <c r="O33" s="316">
        <v>0.80684895995650263</v>
      </c>
      <c r="P33" s="321">
        <v>0.17585889081394845</v>
      </c>
      <c r="Q33" s="321">
        <v>0.11138959865014558</v>
      </c>
      <c r="R33" s="316">
        <v>1450</v>
      </c>
      <c r="S33" s="322">
        <v>79.387500000000003</v>
      </c>
      <c r="T33" s="323">
        <v>4.57</v>
      </c>
      <c r="U33" s="324">
        <v>0.6</v>
      </c>
      <c r="V33" s="316">
        <v>3.948</v>
      </c>
      <c r="W33" s="316">
        <v>11.980306345733041</v>
      </c>
      <c r="X33" s="316">
        <v>13.867781155015198</v>
      </c>
      <c r="Y33" s="315">
        <v>1.4937954238256517</v>
      </c>
      <c r="Z33" s="315">
        <v>1.5482096241605223</v>
      </c>
      <c r="AA33" s="315">
        <v>9.3333785785821473</v>
      </c>
      <c r="AB33" s="315">
        <v>13.269087075607933</v>
      </c>
      <c r="AC33" s="315">
        <v>7.542496070212712</v>
      </c>
      <c r="AD33" s="315">
        <v>11.943357570674976</v>
      </c>
      <c r="AE33" s="314" t="s">
        <v>224</v>
      </c>
    </row>
    <row r="34" spans="1:31">
      <c r="A34" s="314" t="s">
        <v>33</v>
      </c>
      <c r="B34" s="314" t="s">
        <v>267</v>
      </c>
      <c r="C34" s="314" t="s">
        <v>268</v>
      </c>
      <c r="D34" s="315" t="s">
        <v>269</v>
      </c>
      <c r="E34" s="316">
        <v>390</v>
      </c>
      <c r="F34" s="316">
        <v>402</v>
      </c>
      <c r="G34" s="316">
        <v>310</v>
      </c>
      <c r="H34" s="317">
        <v>4618700</v>
      </c>
      <c r="I34" s="317">
        <v>1819842</v>
      </c>
      <c r="J34" s="318">
        <v>350.92</v>
      </c>
      <c r="K34" s="318">
        <v>340.92</v>
      </c>
      <c r="L34" s="319">
        <v>1.1088020000000001</v>
      </c>
      <c r="M34" s="319">
        <v>4.3448279999999997</v>
      </c>
      <c r="N34" s="320">
        <v>0.4344634</v>
      </c>
      <c r="O34" s="316">
        <v>1.1574126414382158</v>
      </c>
      <c r="P34" s="321">
        <v>0.14316653405771196</v>
      </c>
      <c r="Q34" s="321">
        <v>7.4015827703370757E-2</v>
      </c>
      <c r="R34" s="316">
        <v>1200</v>
      </c>
      <c r="S34" s="322">
        <v>468</v>
      </c>
      <c r="T34" s="323">
        <v>16.560000000000002</v>
      </c>
      <c r="U34" s="324">
        <v>7.55</v>
      </c>
      <c r="V34" s="316">
        <v>20.76</v>
      </c>
      <c r="W34" s="316">
        <v>23.550724637681157</v>
      </c>
      <c r="X34" s="316">
        <v>18.786127167630056</v>
      </c>
      <c r="Y34" s="315">
        <v>1.1828487955841809</v>
      </c>
      <c r="Z34" s="315">
        <v>3.4146154574257168</v>
      </c>
      <c r="AA34" s="315">
        <v>21.4131606200263</v>
      </c>
      <c r="AB34" s="315">
        <v>14.567307309143155</v>
      </c>
      <c r="AC34" s="315">
        <v>5.238697391519973</v>
      </c>
      <c r="AD34" s="315">
        <v>5.7511397109934377</v>
      </c>
      <c r="AE34" s="314" t="s">
        <v>224</v>
      </c>
    </row>
    <row r="35" spans="1:31">
      <c r="A35" s="314" t="s">
        <v>34</v>
      </c>
      <c r="B35" s="314" t="s">
        <v>270</v>
      </c>
      <c r="C35" s="314" t="s">
        <v>271</v>
      </c>
      <c r="D35" s="315" t="s">
        <v>272</v>
      </c>
      <c r="E35" s="316">
        <v>456</v>
      </c>
      <c r="F35" s="316">
        <v>456</v>
      </c>
      <c r="G35" s="316">
        <v>236</v>
      </c>
      <c r="H35" s="317">
        <v>75600</v>
      </c>
      <c r="I35" s="317">
        <v>102520.3</v>
      </c>
      <c r="J35" s="318">
        <v>385.46</v>
      </c>
      <c r="K35" s="318">
        <v>328.17500000000001</v>
      </c>
      <c r="L35" s="319">
        <v>0.95756620000000003</v>
      </c>
      <c r="M35" s="319">
        <v>2.6428569999999998</v>
      </c>
      <c r="N35" s="320">
        <v>0.41586820000000002</v>
      </c>
      <c r="O35" s="316">
        <v>0.26393519123137255</v>
      </c>
      <c r="P35" s="321">
        <v>0.44432214325037356</v>
      </c>
      <c r="Q35" s="321">
        <v>0.14226541844663992</v>
      </c>
      <c r="R35" s="316">
        <v>230</v>
      </c>
      <c r="S35" s="322">
        <v>104.88</v>
      </c>
      <c r="T35" s="323">
        <v>13.959999999999999</v>
      </c>
      <c r="U35" s="324">
        <v>4.16</v>
      </c>
      <c r="V35" s="316">
        <v>17.791</v>
      </c>
      <c r="W35" s="316">
        <v>32.664756446991404</v>
      </c>
      <c r="X35" s="316">
        <v>25.630936990613232</v>
      </c>
      <c r="Y35" s="315">
        <v>4.2587925219568774</v>
      </c>
      <c r="Z35" s="315">
        <v>5.9236790881871908</v>
      </c>
      <c r="AA35" s="315">
        <v>25.354412802285271</v>
      </c>
      <c r="AB35" s="315">
        <v>18.232803450324855</v>
      </c>
      <c r="AC35" s="315">
        <v>11.818049349002298</v>
      </c>
      <c r="AD35" s="315">
        <v>15.180918840451534</v>
      </c>
      <c r="AE35" s="314" t="s">
        <v>185</v>
      </c>
    </row>
    <row r="36" spans="1:31">
      <c r="A36" s="314" t="s">
        <v>35</v>
      </c>
      <c r="B36" s="314" t="s">
        <v>273</v>
      </c>
      <c r="C36" s="314" t="s">
        <v>274</v>
      </c>
      <c r="D36" s="315" t="s">
        <v>192</v>
      </c>
      <c r="E36" s="316">
        <v>160</v>
      </c>
      <c r="F36" s="316">
        <v>172</v>
      </c>
      <c r="G36" s="316">
        <v>102</v>
      </c>
      <c r="H36" s="317">
        <v>4772800</v>
      </c>
      <c r="I36" s="317">
        <v>4830403</v>
      </c>
      <c r="J36" s="318">
        <v>160.94</v>
      </c>
      <c r="K36" s="318">
        <v>146.16249999999999</v>
      </c>
      <c r="L36" s="319">
        <v>1.1539060000000001</v>
      </c>
      <c r="M36" s="319">
        <v>4.6666670000000003</v>
      </c>
      <c r="N36" s="320">
        <v>0.63988469999999997</v>
      </c>
      <c r="O36" s="316">
        <v>1.7018369194159744</v>
      </c>
      <c r="P36" s="321" t="e">
        <v>#VALUE!</v>
      </c>
      <c r="Q36" s="321">
        <v>0.3129666038909768</v>
      </c>
      <c r="R36" s="316">
        <v>3393.7359999999999</v>
      </c>
      <c r="S36" s="322">
        <v>542.99781250000001</v>
      </c>
      <c r="T36" s="323">
        <v>10.930239</v>
      </c>
      <c r="U36" s="324">
        <v>3.395</v>
      </c>
      <c r="V36" s="316">
        <v>12.096</v>
      </c>
      <c r="W36" s="316">
        <v>14.638289245093359</v>
      </c>
      <c r="X36" s="316">
        <v>13.227513227513228</v>
      </c>
      <c r="Y36" s="315">
        <v>3.5376725307000005</v>
      </c>
      <c r="Z36" s="315">
        <v>2.6315510932262529</v>
      </c>
      <c r="AA36" s="315" t="s">
        <v>193</v>
      </c>
      <c r="AB36" s="315">
        <v>19.360300621554877</v>
      </c>
      <c r="AC36" s="315">
        <v>1.8795898134749689</v>
      </c>
      <c r="AD36" s="315">
        <v>7.7445845459926179</v>
      </c>
      <c r="AE36" s="314" t="s">
        <v>193</v>
      </c>
    </row>
    <row r="37" spans="1:31">
      <c r="A37" s="314" t="s">
        <v>36</v>
      </c>
      <c r="B37" s="314" t="s">
        <v>275</v>
      </c>
      <c r="C37" s="314" t="s">
        <v>276</v>
      </c>
      <c r="D37" s="315" t="s">
        <v>211</v>
      </c>
      <c r="E37" s="316">
        <v>462</v>
      </c>
      <c r="F37" s="316">
        <v>474</v>
      </c>
      <c r="G37" s="316">
        <v>205</v>
      </c>
      <c r="H37" s="317">
        <v>275000</v>
      </c>
      <c r="I37" s="317">
        <v>291034.40000000002</v>
      </c>
      <c r="J37" s="318">
        <v>407.44</v>
      </c>
      <c r="K37" s="318">
        <v>349.69499999999999</v>
      </c>
      <c r="L37" s="319">
        <v>0.98204259999999999</v>
      </c>
      <c r="M37" s="319">
        <v>4</v>
      </c>
      <c r="N37" s="320">
        <v>0.74806320000000004</v>
      </c>
      <c r="O37" s="316">
        <v>0.22743754539823205</v>
      </c>
      <c r="P37" s="321">
        <v>9.7870794484029022E-2</v>
      </c>
      <c r="Q37" s="321">
        <v>2.628048480364659E-2</v>
      </c>
      <c r="R37" s="316">
        <v>240</v>
      </c>
      <c r="S37" s="322">
        <v>110.88</v>
      </c>
      <c r="T37" s="323">
        <v>12.790000000000001</v>
      </c>
      <c r="U37" s="324" t="s">
        <v>193</v>
      </c>
      <c r="V37" s="316">
        <v>14.818</v>
      </c>
      <c r="W37" s="316">
        <v>36.121970289288505</v>
      </c>
      <c r="X37" s="316">
        <v>31.178296666216763</v>
      </c>
      <c r="Y37" s="315">
        <v>1.0007929708550549</v>
      </c>
      <c r="Z37" s="315">
        <v>11.095583831548863</v>
      </c>
      <c r="AA37" s="315">
        <v>19.191255736114332</v>
      </c>
      <c r="AB37" s="315">
        <v>30.515781362888955</v>
      </c>
      <c r="AC37" s="315">
        <v>10.838152316014609</v>
      </c>
      <c r="AD37" s="315">
        <v>25.156890725281389</v>
      </c>
      <c r="AE37" s="314" t="s">
        <v>185</v>
      </c>
    </row>
    <row r="38" spans="1:31">
      <c r="A38" s="314" t="s">
        <v>37</v>
      </c>
      <c r="B38" s="314" t="s">
        <v>277</v>
      </c>
      <c r="C38" s="314" t="s">
        <v>278</v>
      </c>
      <c r="D38" s="315" t="s">
        <v>279</v>
      </c>
      <c r="E38" s="316">
        <v>0.79</v>
      </c>
      <c r="F38" s="316">
        <v>0.95</v>
      </c>
      <c r="G38" s="316">
        <v>0.75</v>
      </c>
      <c r="H38" s="317">
        <v>1321400</v>
      </c>
      <c r="I38" s="317">
        <v>2930638</v>
      </c>
      <c r="J38" s="318">
        <v>0.8014</v>
      </c>
      <c r="K38" s="318">
        <v>0.82699999999999996</v>
      </c>
      <c r="L38" s="319">
        <v>0.91814399999999996</v>
      </c>
      <c r="M38" s="319">
        <v>2.2222219999999999</v>
      </c>
      <c r="N38" s="320">
        <v>5.8635929999999996E-2</v>
      </c>
      <c r="O38" s="316">
        <v>0.48395728650236935</v>
      </c>
      <c r="P38" s="321">
        <v>-1.5482651057642238E-2</v>
      </c>
      <c r="Q38" s="321">
        <v>-6.0275048199965396E-2</v>
      </c>
      <c r="R38" s="316">
        <v>8168.768</v>
      </c>
      <c r="S38" s="322">
        <v>6.4533266601562502</v>
      </c>
      <c r="T38" s="323">
        <v>-0.20022000000000001</v>
      </c>
      <c r="U38" s="324" t="s">
        <v>193</v>
      </c>
      <c r="V38" s="316">
        <v>1.4999999999999999E-2</v>
      </c>
      <c r="W38" s="316" t="s">
        <v>193</v>
      </c>
      <c r="X38" s="316">
        <v>52.666666666666671</v>
      </c>
      <c r="Y38" s="315">
        <v>0.27028666206758539</v>
      </c>
      <c r="Z38" s="315">
        <v>0.51026879576433792</v>
      </c>
      <c r="AA38" s="315" t="s">
        <v>193</v>
      </c>
      <c r="AB38" s="315">
        <v>-12.487866143991873</v>
      </c>
      <c r="AC38" s="315">
        <v>-7.4994679856475761</v>
      </c>
      <c r="AD38" s="315" t="s">
        <v>193</v>
      </c>
      <c r="AE38" s="314" t="s">
        <v>200</v>
      </c>
    </row>
    <row r="39" spans="1:31">
      <c r="A39" s="314" t="s">
        <v>38</v>
      </c>
      <c r="B39" s="314" t="s">
        <v>280</v>
      </c>
      <c r="C39" s="314" t="s">
        <v>281</v>
      </c>
      <c r="D39" s="315" t="s">
        <v>282</v>
      </c>
      <c r="E39" s="316">
        <v>23</v>
      </c>
      <c r="F39" s="316">
        <v>27.75</v>
      </c>
      <c r="G39" s="316">
        <v>18.100000000000001</v>
      </c>
      <c r="H39" s="317">
        <v>7058200</v>
      </c>
      <c r="I39" s="317">
        <v>8522569</v>
      </c>
      <c r="J39" s="318">
        <v>21.802</v>
      </c>
      <c r="K39" s="318">
        <v>22.870999999999999</v>
      </c>
      <c r="L39" s="319">
        <v>1.2111989999999999</v>
      </c>
      <c r="M39" s="319">
        <v>3.84</v>
      </c>
      <c r="N39" s="320">
        <v>0.73280370000000006</v>
      </c>
      <c r="O39" s="316">
        <v>2.2526852202200467</v>
      </c>
      <c r="P39" s="321">
        <v>0.49309975294489616</v>
      </c>
      <c r="Q39" s="321">
        <v>-5.3388078736855846E-2</v>
      </c>
      <c r="R39" s="316">
        <v>2182.7719999999999</v>
      </c>
      <c r="S39" s="322">
        <v>50.20375390625</v>
      </c>
      <c r="T39" s="323">
        <v>-0.37799999999999989</v>
      </c>
      <c r="U39" s="324">
        <v>0.67</v>
      </c>
      <c r="V39" s="316">
        <v>1.9020000000000001</v>
      </c>
      <c r="W39" s="316" t="s">
        <v>193</v>
      </c>
      <c r="X39" s="316">
        <v>12.092534174553101</v>
      </c>
      <c r="Y39" s="315">
        <v>0.25475944201826828</v>
      </c>
      <c r="Z39" s="315">
        <v>0.76820747953439839</v>
      </c>
      <c r="AA39" s="315">
        <v>4.7767071732858222</v>
      </c>
      <c r="AB39" s="315">
        <v>-1.2516441757287187</v>
      </c>
      <c r="AC39" s="315">
        <v>-0.29361599417021234</v>
      </c>
      <c r="AD39" s="315">
        <v>-1.3491667469862194</v>
      </c>
      <c r="AE39" s="314" t="s">
        <v>283</v>
      </c>
    </row>
    <row r="40" spans="1:31">
      <c r="A40" s="314" t="s">
        <v>39</v>
      </c>
      <c r="B40" s="314" t="s">
        <v>284</v>
      </c>
      <c r="C40" s="314" t="s">
        <v>285</v>
      </c>
      <c r="D40" s="315" t="s">
        <v>262</v>
      </c>
      <c r="E40" s="316">
        <v>67.5</v>
      </c>
      <c r="F40" s="316">
        <v>77</v>
      </c>
      <c r="G40" s="316">
        <v>53</v>
      </c>
      <c r="H40" s="317">
        <v>4760200</v>
      </c>
      <c r="I40" s="317">
        <v>8698450</v>
      </c>
      <c r="J40" s="318">
        <v>65.900000000000006</v>
      </c>
      <c r="K40" s="318">
        <v>65.152500000000003</v>
      </c>
      <c r="L40" s="319">
        <v>1.294643</v>
      </c>
      <c r="M40" s="319">
        <v>3.8235290000000002</v>
      </c>
      <c r="N40" s="320">
        <v>0.55587560000000003</v>
      </c>
      <c r="O40" s="316">
        <v>0.57491100097485592</v>
      </c>
      <c r="P40" s="321">
        <v>5.1392512773469685E-2</v>
      </c>
      <c r="Q40" s="321">
        <v>3.3285080185303684E-2</v>
      </c>
      <c r="R40" s="316">
        <v>2040.028</v>
      </c>
      <c r="S40" s="322">
        <v>137.701875</v>
      </c>
      <c r="T40" s="323">
        <v>2.3029999999999999</v>
      </c>
      <c r="U40" s="324">
        <v>2.21</v>
      </c>
      <c r="V40" s="316">
        <v>5.8849999999999998</v>
      </c>
      <c r="W40" s="316">
        <v>29.309596178897092</v>
      </c>
      <c r="X40" s="316">
        <v>11.469838572642312</v>
      </c>
      <c r="Y40" s="315">
        <v>0.30283333308165139</v>
      </c>
      <c r="Z40" s="315">
        <v>1.8185946492291409</v>
      </c>
      <c r="AA40" s="315">
        <v>9.7874419300035438</v>
      </c>
      <c r="AB40" s="315">
        <v>6.1313034215272451</v>
      </c>
      <c r="AC40" s="315">
        <v>2.8506420200646048</v>
      </c>
      <c r="AD40" s="315">
        <v>5.0447862671610011</v>
      </c>
      <c r="AE40" s="314" t="s">
        <v>185</v>
      </c>
    </row>
    <row r="41" spans="1:31">
      <c r="A41" s="314" t="s">
        <v>40</v>
      </c>
      <c r="B41" s="314" t="s">
        <v>286</v>
      </c>
      <c r="C41" s="314" t="s">
        <v>287</v>
      </c>
      <c r="D41" s="315" t="s">
        <v>239</v>
      </c>
      <c r="E41" s="316">
        <v>32.25</v>
      </c>
      <c r="F41" s="316">
        <v>34.75</v>
      </c>
      <c r="G41" s="316">
        <v>21.9</v>
      </c>
      <c r="H41" s="317">
        <v>77700</v>
      </c>
      <c r="I41" s="317">
        <v>261884.4</v>
      </c>
      <c r="J41" s="318">
        <v>29.9</v>
      </c>
      <c r="K41" s="318">
        <v>29.002500000000001</v>
      </c>
      <c r="L41" s="319">
        <v>0.88363639999999999</v>
      </c>
      <c r="M41" s="319">
        <v>4.3333329999999997</v>
      </c>
      <c r="N41" s="320">
        <v>3.9689599999999998E-2</v>
      </c>
      <c r="O41" s="316">
        <v>0.18561002265665988</v>
      </c>
      <c r="P41" s="321">
        <v>0.15182793290004992</v>
      </c>
      <c r="Q41" s="321">
        <v>6.0808011927373819E-2</v>
      </c>
      <c r="R41" s="316">
        <v>875</v>
      </c>
      <c r="S41" s="322">
        <v>28.21875</v>
      </c>
      <c r="T41" s="323">
        <v>2.931</v>
      </c>
      <c r="U41" s="324" t="s">
        <v>193</v>
      </c>
      <c r="V41" s="316">
        <v>3.4450000000000003</v>
      </c>
      <c r="W41" s="316">
        <v>11.003070624360287</v>
      </c>
      <c r="X41" s="316">
        <v>9.3613933236574738</v>
      </c>
      <c r="Y41" s="315">
        <v>0.95410865432464687</v>
      </c>
      <c r="Z41" s="315">
        <v>1.9044602924036202</v>
      </c>
      <c r="AA41" s="315">
        <v>5.7147315374807413</v>
      </c>
      <c r="AB41" s="315">
        <v>18.222322414263928</v>
      </c>
      <c r="AC41" s="315">
        <v>11.778571484876332</v>
      </c>
      <c r="AD41" s="315">
        <v>15.937223531489463</v>
      </c>
      <c r="AE41" s="314" t="s">
        <v>185</v>
      </c>
    </row>
    <row r="42" spans="1:31">
      <c r="A42" s="314" t="s">
        <v>41</v>
      </c>
      <c r="B42" s="314" t="s">
        <v>288</v>
      </c>
      <c r="C42" s="314" t="s">
        <v>289</v>
      </c>
      <c r="D42" s="315" t="s">
        <v>223</v>
      </c>
      <c r="E42" s="316">
        <v>73.25</v>
      </c>
      <c r="F42" s="316">
        <v>78</v>
      </c>
      <c r="G42" s="316">
        <v>49.17812</v>
      </c>
      <c r="H42" s="317">
        <v>4247700</v>
      </c>
      <c r="I42" s="317">
        <v>2720641</v>
      </c>
      <c r="J42" s="318">
        <v>73.69</v>
      </c>
      <c r="K42" s="318">
        <v>70.164450000000002</v>
      </c>
      <c r="L42" s="319">
        <v>0.71985370000000004</v>
      </c>
      <c r="M42" s="319">
        <v>4.6428570000000002</v>
      </c>
      <c r="N42" s="320">
        <v>0.14436740000000001</v>
      </c>
      <c r="O42" s="316">
        <v>1.6285870481236111</v>
      </c>
      <c r="P42" s="321">
        <v>0.16589560590283325</v>
      </c>
      <c r="Q42" s="321">
        <v>5.1429218169323242E-2</v>
      </c>
      <c r="R42" s="316">
        <v>1147.5940000000001</v>
      </c>
      <c r="S42" s="322">
        <v>84.061250000000001</v>
      </c>
      <c r="T42" s="323">
        <v>5.4807380235195158</v>
      </c>
      <c r="U42" s="324">
        <v>1.3</v>
      </c>
      <c r="V42" s="316">
        <v>5.0760000000000005</v>
      </c>
      <c r="W42" s="316">
        <v>13.364988380335266</v>
      </c>
      <c r="X42" s="316">
        <v>14.430654058313632</v>
      </c>
      <c r="Y42" s="315">
        <v>0.71691390926694343</v>
      </c>
      <c r="Z42" s="315">
        <v>2.3043066092993483</v>
      </c>
      <c r="AA42" s="315">
        <v>59.217407355890465</v>
      </c>
      <c r="AB42" s="315">
        <v>18.949622234912795</v>
      </c>
      <c r="AC42" s="315">
        <v>6.4665131223759138</v>
      </c>
      <c r="AD42" s="315" t="s">
        <v>193</v>
      </c>
      <c r="AE42" s="314" t="s">
        <v>185</v>
      </c>
    </row>
    <row r="43" spans="1:31">
      <c r="A43" s="314" t="s">
        <v>42</v>
      </c>
      <c r="B43" s="314" t="s">
        <v>290</v>
      </c>
      <c r="C43" s="314" t="s">
        <v>291</v>
      </c>
      <c r="D43" s="315" t="s">
        <v>192</v>
      </c>
      <c r="E43" s="316">
        <v>37.75</v>
      </c>
      <c r="F43" s="316">
        <v>41.75</v>
      </c>
      <c r="G43" s="316">
        <v>23.6</v>
      </c>
      <c r="H43" s="317">
        <v>8011100</v>
      </c>
      <c r="I43" s="317">
        <v>9911995</v>
      </c>
      <c r="J43" s="318">
        <v>37.075000000000003</v>
      </c>
      <c r="K43" s="318">
        <v>31.284749999999999</v>
      </c>
      <c r="L43" s="319">
        <v>1.0396529999999999</v>
      </c>
      <c r="M43" s="319">
        <v>3.6923080000000001</v>
      </c>
      <c r="N43" s="320">
        <v>0.16981020000000002</v>
      </c>
      <c r="O43" s="316">
        <v>8.45967701632431</v>
      </c>
      <c r="P43" s="321" t="e">
        <v>#VALUE!</v>
      </c>
      <c r="Q43" s="321">
        <v>0.10708682827643042</v>
      </c>
      <c r="R43" s="316">
        <v>1277.816</v>
      </c>
      <c r="S43" s="322">
        <v>48.237566406249996</v>
      </c>
      <c r="T43" s="323" t="s">
        <v>193</v>
      </c>
      <c r="U43" s="324">
        <v>0.95000000000000007</v>
      </c>
      <c r="V43" s="316">
        <v>4.2450000000000001</v>
      </c>
      <c r="W43" s="316" t="s">
        <v>193</v>
      </c>
      <c r="X43" s="316">
        <v>8.8928150765606588</v>
      </c>
      <c r="Y43" s="315">
        <v>0.68246017177262008</v>
      </c>
      <c r="Z43" s="315">
        <v>1.167504029695452</v>
      </c>
      <c r="AA43" s="315" t="s">
        <v>193</v>
      </c>
      <c r="AB43" s="315">
        <v>12.981355923501425</v>
      </c>
      <c r="AC43" s="315">
        <v>0.55081427754819601</v>
      </c>
      <c r="AD43" s="315">
        <v>2.6114501630789047</v>
      </c>
      <c r="AE43" s="314" t="s">
        <v>193</v>
      </c>
    </row>
    <row r="44" spans="1:31">
      <c r="A44" s="314" t="s">
        <v>43</v>
      </c>
      <c r="B44" s="314" t="s">
        <v>292</v>
      </c>
      <c r="C44" s="314" t="s">
        <v>293</v>
      </c>
      <c r="D44" s="315" t="s">
        <v>257</v>
      </c>
      <c r="E44" s="316">
        <v>15.7</v>
      </c>
      <c r="F44" s="316">
        <v>22.5</v>
      </c>
      <c r="G44" s="316">
        <v>14.4</v>
      </c>
      <c r="H44" s="317">
        <v>6833000</v>
      </c>
      <c r="I44" s="317">
        <v>4102952</v>
      </c>
      <c r="J44" s="318">
        <v>16.774000000000001</v>
      </c>
      <c r="K44" s="318">
        <v>17.917999999999999</v>
      </c>
      <c r="L44" s="319">
        <v>0.9921333</v>
      </c>
      <c r="M44" s="319">
        <v>2.545455</v>
      </c>
      <c r="N44" s="320">
        <v>4.5230989999999999E-2</v>
      </c>
      <c r="O44" s="316">
        <v>0.56245808110627293</v>
      </c>
      <c r="P44" s="321">
        <v>0.11829620064560832</v>
      </c>
      <c r="Q44" s="321">
        <v>7.9403819892544924E-3</v>
      </c>
      <c r="R44" s="316">
        <v>708.00439999999992</v>
      </c>
      <c r="S44" s="322">
        <v>11.1156689453125</v>
      </c>
      <c r="T44" s="323">
        <v>-4.6639999999999997</v>
      </c>
      <c r="U44" s="324" t="s">
        <v>193</v>
      </c>
      <c r="V44" s="316">
        <v>-0.74199999999999999</v>
      </c>
      <c r="W44" s="316" t="s">
        <v>193</v>
      </c>
      <c r="X44" s="316" t="s">
        <v>193</v>
      </c>
      <c r="Y44" s="315">
        <v>0.6869082232181305</v>
      </c>
      <c r="Z44" s="315">
        <v>0.50112104823158088</v>
      </c>
      <c r="AA44" s="315">
        <v>7.0827208640975874</v>
      </c>
      <c r="AB44" s="315">
        <v>-13.796094229933912</v>
      </c>
      <c r="AC44" s="315">
        <v>-6.9564110194298729</v>
      </c>
      <c r="AD44" s="315" t="s">
        <v>193</v>
      </c>
      <c r="AE44" s="314" t="s">
        <v>200</v>
      </c>
    </row>
    <row r="45" spans="1:31">
      <c r="A45" s="314" t="s">
        <v>44</v>
      </c>
      <c r="B45" s="314" t="s">
        <v>294</v>
      </c>
      <c r="C45" s="314" t="s">
        <v>295</v>
      </c>
      <c r="D45" s="315" t="s">
        <v>192</v>
      </c>
      <c r="E45" s="316">
        <v>1.87</v>
      </c>
      <c r="F45" s="316">
        <v>1.98</v>
      </c>
      <c r="G45" s="316">
        <v>1.32</v>
      </c>
      <c r="H45" s="317">
        <v>335808500</v>
      </c>
      <c r="I45" s="317">
        <v>169746600</v>
      </c>
      <c r="J45" s="318">
        <v>1.7854000000000001</v>
      </c>
      <c r="K45" s="318">
        <v>1.6611</v>
      </c>
      <c r="L45" s="319">
        <v>1.096784</v>
      </c>
      <c r="M45" s="319">
        <v>2.0833330000000001</v>
      </c>
      <c r="N45" s="320">
        <v>0.56677949999999999</v>
      </c>
      <c r="O45" s="316">
        <v>3.2855111269817674</v>
      </c>
      <c r="P45" s="321" t="e">
        <v>#VALUE!</v>
      </c>
      <c r="Q45" s="321">
        <v>0.17797531816035098</v>
      </c>
      <c r="R45" s="316">
        <v>43549.919999999998</v>
      </c>
      <c r="S45" s="322">
        <v>81.438351562500003</v>
      </c>
      <c r="T45" s="323">
        <v>0.09</v>
      </c>
      <c r="U45" s="324">
        <v>0.17899999999999999</v>
      </c>
      <c r="V45" s="316">
        <v>0.112</v>
      </c>
      <c r="W45" s="316">
        <v>20.777777830759685</v>
      </c>
      <c r="X45" s="316">
        <v>16.696428571428573</v>
      </c>
      <c r="Y45" s="315">
        <v>2.1116579116792908</v>
      </c>
      <c r="Z45" s="315">
        <v>1.4914775127594915</v>
      </c>
      <c r="AA45" s="315" t="s">
        <v>193</v>
      </c>
      <c r="AB45" s="315">
        <v>8.8917344555526086</v>
      </c>
      <c r="AC45" s="315">
        <v>0.71071524701265287</v>
      </c>
      <c r="AD45" s="315">
        <v>3.0662630132932129</v>
      </c>
      <c r="AE45" s="314" t="s">
        <v>193</v>
      </c>
    </row>
    <row r="46" spans="1:31">
      <c r="A46" s="314" t="s">
        <v>45</v>
      </c>
      <c r="B46" s="314" t="s">
        <v>296</v>
      </c>
      <c r="C46" s="314" t="s">
        <v>297</v>
      </c>
      <c r="D46" s="315" t="s">
        <v>297</v>
      </c>
      <c r="E46" s="316">
        <v>883.43</v>
      </c>
      <c r="F46" s="316">
        <v>892.63</v>
      </c>
      <c r="G46" s="316">
        <v>669.41</v>
      </c>
      <c r="H46" s="317">
        <v>623913280</v>
      </c>
      <c r="I46" s="317">
        <v>853867100</v>
      </c>
      <c r="J46" s="318">
        <v>870.23569999999995</v>
      </c>
      <c r="K46" s="318">
        <v>827.75390000000004</v>
      </c>
      <c r="L46" s="319" t="s">
        <v>297</v>
      </c>
      <c r="M46" s="319" t="s">
        <v>297</v>
      </c>
      <c r="N46" s="320" t="e">
        <v>#VALUE!</v>
      </c>
      <c r="O46" s="316" t="e">
        <v>#VALUE!</v>
      </c>
      <c r="P46" s="321">
        <v>0.28250709533691404</v>
      </c>
      <c r="Q46" s="321">
        <v>0.20271419525146483</v>
      </c>
      <c r="R46" s="316" t="s">
        <v>297</v>
      </c>
      <c r="S46" s="322">
        <v>8424.8279999999995</v>
      </c>
      <c r="T46" s="323">
        <v>57.430038452148438</v>
      </c>
      <c r="U46" s="324" t="s">
        <v>297</v>
      </c>
      <c r="V46" s="316" t="s">
        <v>297</v>
      </c>
      <c r="W46" s="316">
        <v>15.382716498371963</v>
      </c>
      <c r="X46" s="316" t="s">
        <v>297</v>
      </c>
      <c r="Y46" s="315" t="s">
        <v>297</v>
      </c>
      <c r="Z46" s="315">
        <v>2.4225511881978492</v>
      </c>
      <c r="AA46" s="315">
        <v>16.978554756796324</v>
      </c>
      <c r="AB46" s="315">
        <v>23.437860488891602</v>
      </c>
      <c r="AC46" s="315">
        <v>8.9854001998901367</v>
      </c>
      <c r="AD46" s="315">
        <v>15.431130409240723</v>
      </c>
      <c r="AE46" s="314" t="s">
        <v>297</v>
      </c>
    </row>
    <row r="47" spans="1:31">
      <c r="A47" s="305"/>
      <c r="B47" s="305"/>
      <c r="C47" s="305"/>
      <c r="D47" s="305"/>
      <c r="E47" s="305"/>
      <c r="F47" s="305"/>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05"/>
      <c r="AE47" s="305"/>
    </row>
    <row r="48" spans="1:31">
      <c r="A48" s="305"/>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5"/>
      <c r="AE48" s="305"/>
    </row>
    <row r="49" spans="1:31">
      <c r="A49" s="305"/>
      <c r="B49" s="305"/>
      <c r="C49" s="305"/>
      <c r="D49" s="305"/>
      <c r="E49" s="305"/>
      <c r="F49" s="305"/>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05"/>
      <c r="AE49" s="305"/>
    </row>
    <row r="50" spans="1:31">
      <c r="A50" s="305"/>
      <c r="B50" s="305"/>
      <c r="C50" s="305"/>
      <c r="D50" s="305"/>
      <c r="E50" s="305"/>
      <c r="F50" s="305"/>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5"/>
      <c r="AE50" s="305"/>
    </row>
    <row r="51" spans="1:31">
      <c r="A51" s="305"/>
      <c r="B51" s="305"/>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5"/>
      <c r="AE51" s="305"/>
    </row>
    <row r="52" spans="1:31">
      <c r="A52" s="305"/>
      <c r="B52" s="305"/>
      <c r="D52" s="305"/>
      <c r="E52" s="305"/>
      <c r="F52" s="305"/>
      <c r="G52" s="305"/>
      <c r="H52" s="305"/>
      <c r="I52" s="305"/>
      <c r="J52" s="305"/>
      <c r="K52" s="305"/>
      <c r="L52" s="305"/>
      <c r="M52" s="305"/>
      <c r="N52" s="305"/>
      <c r="O52" s="305"/>
      <c r="P52" s="305"/>
      <c r="Q52" s="305"/>
      <c r="R52" s="305"/>
      <c r="S52" s="305"/>
      <c r="T52" s="305"/>
      <c r="U52" s="305"/>
      <c r="V52" s="305"/>
      <c r="W52" s="305"/>
      <c r="X52" s="305"/>
      <c r="Y52" s="305"/>
      <c r="Z52" s="305"/>
      <c r="AA52" s="305"/>
      <c r="AB52" s="305"/>
      <c r="AC52" s="305"/>
      <c r="AD52" s="305"/>
      <c r="AE52" s="305"/>
    </row>
    <row r="53" spans="1:31">
      <c r="A53" s="305"/>
      <c r="B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05"/>
      <c r="AE53" s="305"/>
    </row>
    <row r="54" spans="1:31">
      <c r="A54" s="305"/>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row>
    <row r="55" spans="1:31">
      <c r="A55" s="305"/>
      <c r="B55" s="305"/>
      <c r="C55" s="305"/>
      <c r="D55" s="305"/>
      <c r="E55" s="305"/>
      <c r="F55" s="305"/>
      <c r="G55" s="305"/>
      <c r="H55" s="305"/>
      <c r="I55" s="305"/>
      <c r="J55" s="305"/>
      <c r="K55" s="305"/>
      <c r="L55" s="305"/>
      <c r="M55" s="305"/>
      <c r="N55" s="305"/>
      <c r="O55" s="305"/>
      <c r="P55" s="305"/>
      <c r="Q55" s="305"/>
      <c r="R55" s="305"/>
      <c r="S55" s="305"/>
      <c r="T55" s="305"/>
      <c r="U55" s="305"/>
      <c r="V55" s="305"/>
      <c r="W55" s="305"/>
      <c r="X55" s="305"/>
      <c r="Y55" s="305"/>
      <c r="Z55" s="305"/>
      <c r="AA55" s="305"/>
      <c r="AB55" s="305"/>
      <c r="AC55" s="305"/>
      <c r="AD55" s="305"/>
      <c r="AE55" s="305"/>
    </row>
    <row r="56" spans="1:31">
      <c r="A56" s="305"/>
      <c r="B56" s="305"/>
      <c r="C56" s="305"/>
      <c r="D56" s="305"/>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row>
    <row r="57" spans="1:31">
      <c r="A57" s="305"/>
      <c r="B57" s="305"/>
      <c r="C57" s="305"/>
      <c r="D57" s="305"/>
      <c r="E57" s="305"/>
      <c r="F57" s="305"/>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5"/>
      <c r="AE57" s="305"/>
    </row>
    <row r="58" spans="1:31">
      <c r="A58" s="305"/>
      <c r="B58" s="305"/>
      <c r="C58" s="305"/>
      <c r="D58" s="305"/>
      <c r="E58" s="305"/>
      <c r="F58" s="305"/>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5"/>
      <c r="AE58" s="305"/>
    </row>
    <row r="59" spans="1:31">
      <c r="A59" s="305"/>
      <c r="B59" s="305"/>
      <c r="C59" s="305"/>
      <c r="D59" s="305"/>
      <c r="E59" s="305"/>
      <c r="F59" s="305"/>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5"/>
      <c r="AE59" s="305"/>
    </row>
    <row r="60" spans="1:31">
      <c r="A60" s="305"/>
      <c r="B60" s="305"/>
      <c r="C60" s="305"/>
      <c r="D60" s="305"/>
      <c r="E60" s="305"/>
      <c r="F60" s="305"/>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5"/>
      <c r="AE60" s="305"/>
    </row>
    <row r="61" spans="1:31">
      <c r="A61" s="305"/>
      <c r="B61" s="305"/>
      <c r="C61" s="305"/>
      <c r="D61" s="305"/>
      <c r="E61" s="305"/>
      <c r="F61" s="305"/>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5"/>
      <c r="AE61" s="305"/>
    </row>
    <row r="62" spans="1:31">
      <c r="A62" s="305"/>
      <c r="B62" s="305"/>
      <c r="C62" s="305"/>
      <c r="D62" s="305"/>
      <c r="E62" s="305"/>
      <c r="F62" s="305"/>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5"/>
      <c r="AE62" s="305"/>
    </row>
    <row r="63" spans="1:31">
      <c r="A63" s="305"/>
      <c r="B63" s="305"/>
      <c r="C63" s="305"/>
      <c r="D63" s="305"/>
      <c r="E63" s="305"/>
      <c r="F63" s="305"/>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5"/>
      <c r="AE63" s="305"/>
    </row>
    <row r="64" spans="1:31">
      <c r="A64" s="305"/>
      <c r="B64" s="305"/>
      <c r="C64" s="305"/>
      <c r="D64" s="305"/>
      <c r="E64" s="305"/>
      <c r="F64" s="305"/>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5"/>
      <c r="AE64" s="305"/>
    </row>
    <row r="65" spans="1:31">
      <c r="A65" s="305"/>
      <c r="B65" s="305"/>
      <c r="C65" s="305"/>
      <c r="D65" s="305"/>
      <c r="E65" s="305"/>
      <c r="F65" s="305"/>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5"/>
      <c r="AE65" s="305"/>
    </row>
    <row r="66" spans="1:31">
      <c r="A66" s="305"/>
      <c r="B66" s="305"/>
      <c r="C66" s="305"/>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row>
    <row r="67" spans="1:31">
      <c r="A67" s="305"/>
      <c r="B67" s="305"/>
      <c r="C67" s="305"/>
      <c r="D67" s="305"/>
      <c r="E67" s="305"/>
      <c r="F67" s="305"/>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5"/>
      <c r="AE67" s="305"/>
    </row>
    <row r="68" spans="1:31">
      <c r="A68" s="305"/>
      <c r="B68" s="305"/>
      <c r="C68" s="305"/>
      <c r="D68" s="305"/>
      <c r="E68" s="305"/>
      <c r="F68" s="305"/>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5"/>
      <c r="AE68" s="305"/>
    </row>
    <row r="69" spans="1:31">
      <c r="A69" s="305"/>
      <c r="B69" s="305"/>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row>
    <row r="70" spans="1:31">
      <c r="A70" s="305"/>
      <c r="B70" s="305"/>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row>
    <row r="71" spans="1:31">
      <c r="A71" s="305"/>
      <c r="B71" s="305"/>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row>
    <row r="72" spans="1:31">
      <c r="A72" s="305"/>
      <c r="B72" s="305"/>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row>
    <row r="73" spans="1:31">
      <c r="A73" s="305"/>
      <c r="B73" s="305"/>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row>
    <row r="74" spans="1:31">
      <c r="A74" s="305"/>
      <c r="B74" s="305"/>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row>
    <row r="75" spans="1:31">
      <c r="A75" s="305"/>
      <c r="B75" s="305"/>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row>
    <row r="76" spans="1:31">
      <c r="A76" s="305"/>
      <c r="B76" s="305"/>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row>
    <row r="77" spans="1:31">
      <c r="A77" s="305"/>
      <c r="B77" s="305"/>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row>
    <row r="78" spans="1:31">
      <c r="A78" s="305"/>
      <c r="B78" s="305"/>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row>
    <row r="79" spans="1:31">
      <c r="A79" s="305"/>
      <c r="B79" s="305"/>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row>
    <row r="80" spans="1:31">
      <c r="A80" s="305"/>
      <c r="B80" s="305"/>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row>
    <row r="81" spans="1:31">
      <c r="A81" s="305"/>
      <c r="B81" s="305"/>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row>
    <row r="82" spans="1:31">
      <c r="A82" s="305"/>
      <c r="B82" s="305"/>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row>
    <row r="83" spans="1:31">
      <c r="A83" s="305"/>
      <c r="B83" s="305"/>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row>
    <row r="84" spans="1:31">
      <c r="A84" s="305"/>
      <c r="B84" s="305"/>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row>
    <row r="85" spans="1:31">
      <c r="A85" s="305"/>
      <c r="B85" s="305"/>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row>
    <row r="86" spans="1:31">
      <c r="A86" s="305"/>
      <c r="B86" s="305"/>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row>
    <row r="87" spans="1:31">
      <c r="A87" s="305"/>
      <c r="B87" s="305"/>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row>
    <row r="88" spans="1:31">
      <c r="A88" s="305"/>
      <c r="B88" s="305"/>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row>
    <row r="89" spans="1:31">
      <c r="A89" s="305"/>
      <c r="B89" s="305"/>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row>
    <row r="90" spans="1:31">
      <c r="A90" s="305"/>
      <c r="B90" s="305"/>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row>
    <row r="91" spans="1:31">
      <c r="A91" s="305"/>
      <c r="B91" s="305"/>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row>
    <row r="92" spans="1:31">
      <c r="A92" s="305"/>
      <c r="B92" s="305"/>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row>
    <row r="93" spans="1:31">
      <c r="A93" s="305"/>
      <c r="B93" s="305"/>
      <c r="C93" s="305"/>
      <c r="D93" s="305"/>
      <c r="E93" s="305"/>
      <c r="F93" s="305"/>
      <c r="G93" s="305"/>
      <c r="H93" s="305"/>
      <c r="I93" s="305"/>
      <c r="J93" s="305"/>
      <c r="K93" s="305"/>
      <c r="L93" s="305"/>
      <c r="M93" s="305"/>
      <c r="N93" s="305"/>
      <c r="O93" s="305"/>
      <c r="P93" s="305"/>
      <c r="Q93" s="305"/>
      <c r="R93" s="305"/>
      <c r="S93" s="305"/>
      <c r="T93" s="305"/>
      <c r="U93" s="305"/>
      <c r="V93" s="305"/>
      <c r="W93" s="305"/>
      <c r="X93" s="305"/>
      <c r="Y93" s="305"/>
      <c r="Z93" s="305"/>
      <c r="AA93" s="305"/>
      <c r="AB93" s="305"/>
      <c r="AC93" s="305"/>
      <c r="AD93" s="305"/>
      <c r="AE93" s="305"/>
    </row>
    <row r="94" spans="1:31">
      <c r="A94" s="305"/>
      <c r="B94" s="305"/>
      <c r="C94" s="305"/>
      <c r="D94" s="305"/>
      <c r="E94" s="305"/>
      <c r="F94" s="305"/>
      <c r="G94" s="305"/>
      <c r="H94" s="305"/>
      <c r="I94" s="305"/>
      <c r="J94" s="305"/>
      <c r="K94" s="305"/>
      <c r="L94" s="305"/>
      <c r="M94" s="305"/>
      <c r="N94" s="305"/>
      <c r="O94" s="305"/>
      <c r="P94" s="305"/>
      <c r="Q94" s="305"/>
      <c r="R94" s="305"/>
      <c r="S94" s="305"/>
      <c r="T94" s="305"/>
      <c r="U94" s="305"/>
      <c r="V94" s="305"/>
      <c r="W94" s="305"/>
      <c r="X94" s="305"/>
      <c r="Y94" s="305"/>
      <c r="Z94" s="305"/>
      <c r="AA94" s="305"/>
      <c r="AB94" s="305"/>
      <c r="AC94" s="305"/>
      <c r="AD94" s="305"/>
      <c r="AE94" s="305"/>
    </row>
    <row r="95" spans="1:31">
      <c r="A95" s="305"/>
      <c r="B95" s="305"/>
      <c r="C95" s="305"/>
      <c r="D95" s="305"/>
      <c r="E95" s="305"/>
      <c r="F95" s="305"/>
      <c r="G95" s="305"/>
      <c r="H95" s="305"/>
      <c r="I95" s="305"/>
      <c r="J95" s="305"/>
      <c r="K95" s="305"/>
      <c r="L95" s="305"/>
      <c r="M95" s="305"/>
      <c r="N95" s="305"/>
      <c r="O95" s="305"/>
      <c r="P95" s="305"/>
      <c r="Q95" s="305"/>
      <c r="R95" s="305"/>
      <c r="S95" s="305"/>
      <c r="T95" s="305"/>
      <c r="U95" s="305"/>
      <c r="V95" s="305"/>
      <c r="W95" s="305"/>
      <c r="X95" s="305"/>
      <c r="Y95" s="305"/>
      <c r="Z95" s="305"/>
      <c r="AA95" s="305"/>
      <c r="AB95" s="305"/>
      <c r="AC95" s="305"/>
      <c r="AD95" s="305"/>
      <c r="AE95" s="305"/>
    </row>
    <row r="96" spans="1:31">
      <c r="A96" s="305"/>
      <c r="B96" s="305"/>
      <c r="C96" s="305"/>
      <c r="D96" s="305"/>
      <c r="E96" s="305"/>
      <c r="F96" s="305"/>
      <c r="G96" s="305"/>
      <c r="H96" s="305"/>
      <c r="I96" s="305"/>
      <c r="J96" s="305"/>
      <c r="K96" s="305"/>
      <c r="L96" s="305"/>
      <c r="M96" s="305"/>
      <c r="N96" s="305"/>
      <c r="O96" s="305"/>
      <c r="P96" s="305"/>
      <c r="Q96" s="305"/>
      <c r="R96" s="305"/>
      <c r="S96" s="305"/>
      <c r="T96" s="305"/>
      <c r="U96" s="305"/>
      <c r="V96" s="305"/>
      <c r="W96" s="305"/>
      <c r="X96" s="305"/>
      <c r="Y96" s="305"/>
      <c r="Z96" s="305"/>
      <c r="AA96" s="305"/>
      <c r="AB96" s="305"/>
      <c r="AC96" s="305"/>
      <c r="AD96" s="305"/>
      <c r="AE96" s="305"/>
    </row>
    <row r="97" spans="1:31">
      <c r="A97" s="305"/>
      <c r="B97" s="305"/>
      <c r="C97" s="305"/>
      <c r="D97" s="305"/>
      <c r="E97" s="305"/>
      <c r="F97" s="305"/>
      <c r="G97" s="305"/>
      <c r="H97" s="305"/>
      <c r="I97" s="305"/>
      <c r="J97" s="305"/>
      <c r="K97" s="305"/>
      <c r="L97" s="305"/>
      <c r="M97" s="305"/>
      <c r="N97" s="305"/>
      <c r="O97" s="305"/>
      <c r="P97" s="305"/>
      <c r="Q97" s="305"/>
      <c r="R97" s="305"/>
      <c r="S97" s="305"/>
      <c r="T97" s="305"/>
      <c r="U97" s="305"/>
      <c r="V97" s="305"/>
      <c r="W97" s="305"/>
      <c r="X97" s="305"/>
      <c r="Y97" s="305"/>
      <c r="Z97" s="305"/>
      <c r="AA97" s="305"/>
      <c r="AB97" s="305"/>
      <c r="AC97" s="305"/>
      <c r="AD97" s="305"/>
      <c r="AE97" s="305"/>
    </row>
    <row r="98" spans="1:31">
      <c r="A98" s="305"/>
      <c r="B98" s="305"/>
      <c r="C98" s="305"/>
      <c r="D98" s="305"/>
      <c r="E98" s="305"/>
      <c r="F98" s="305"/>
      <c r="G98" s="305"/>
      <c r="H98" s="305"/>
      <c r="I98" s="305"/>
      <c r="J98" s="305"/>
      <c r="K98" s="305"/>
      <c r="L98" s="305"/>
      <c r="M98" s="305"/>
      <c r="N98" s="305"/>
      <c r="O98" s="305"/>
      <c r="P98" s="305"/>
      <c r="Q98" s="305"/>
      <c r="R98" s="305"/>
      <c r="S98" s="305"/>
      <c r="T98" s="305"/>
      <c r="U98" s="305"/>
      <c r="V98" s="305"/>
      <c r="W98" s="305"/>
      <c r="X98" s="305"/>
      <c r="Y98" s="305"/>
      <c r="Z98" s="305"/>
      <c r="AA98" s="305"/>
      <c r="AB98" s="305"/>
      <c r="AC98" s="305"/>
      <c r="AD98" s="305"/>
      <c r="AE98" s="305"/>
    </row>
    <row r="99" spans="1:31">
      <c r="A99" s="305"/>
      <c r="B99" s="305"/>
      <c r="C99" s="305"/>
      <c r="D99" s="305"/>
      <c r="E99" s="305"/>
      <c r="F99" s="305"/>
      <c r="G99" s="305"/>
      <c r="H99" s="305"/>
      <c r="I99" s="305"/>
      <c r="J99" s="305"/>
      <c r="K99" s="305"/>
      <c r="L99" s="305"/>
      <c r="M99" s="305"/>
      <c r="N99" s="305"/>
      <c r="O99" s="305"/>
      <c r="P99" s="305"/>
      <c r="Q99" s="305"/>
      <c r="R99" s="305"/>
      <c r="S99" s="305"/>
      <c r="T99" s="305"/>
      <c r="U99" s="305"/>
      <c r="V99" s="305"/>
      <c r="W99" s="305"/>
      <c r="X99" s="305"/>
      <c r="Y99" s="305"/>
      <c r="Z99" s="305"/>
      <c r="AA99" s="305"/>
      <c r="AB99" s="305"/>
      <c r="AC99" s="305"/>
      <c r="AD99" s="305"/>
      <c r="AE99" s="305"/>
    </row>
    <row r="100" spans="1:31">
      <c r="A100" s="305"/>
      <c r="B100" s="305"/>
      <c r="C100" s="305"/>
      <c r="D100" s="305"/>
      <c r="E100" s="305"/>
      <c r="F100" s="305"/>
      <c r="G100" s="305"/>
      <c r="H100" s="305"/>
      <c r="I100" s="305"/>
      <c r="J100" s="305"/>
      <c r="K100" s="305"/>
      <c r="L100" s="305"/>
      <c r="M100" s="305"/>
      <c r="N100" s="305"/>
      <c r="O100" s="305"/>
      <c r="P100" s="305"/>
      <c r="Q100" s="305"/>
      <c r="R100" s="305"/>
      <c r="S100" s="305"/>
      <c r="T100" s="305"/>
      <c r="U100" s="305"/>
      <c r="V100" s="305"/>
      <c r="W100" s="305"/>
      <c r="X100" s="305"/>
      <c r="Y100" s="305"/>
      <c r="Z100" s="305"/>
      <c r="AA100" s="305"/>
      <c r="AB100" s="305"/>
      <c r="AC100" s="305"/>
      <c r="AD100" s="305"/>
      <c r="AE100" s="305"/>
    </row>
    <row r="101" spans="1:31">
      <c r="A101" s="305"/>
      <c r="B101" s="305"/>
      <c r="C101" s="305"/>
      <c r="D101" s="305"/>
      <c r="E101" s="305"/>
      <c r="F101" s="305"/>
      <c r="G101" s="305"/>
      <c r="H101" s="305"/>
      <c r="I101" s="305"/>
      <c r="J101" s="305"/>
      <c r="K101" s="305"/>
      <c r="L101" s="305"/>
      <c r="M101" s="305"/>
      <c r="N101" s="305"/>
      <c r="O101" s="305"/>
      <c r="P101" s="305"/>
      <c r="Q101" s="305"/>
      <c r="R101" s="305"/>
      <c r="S101" s="305"/>
      <c r="T101" s="305"/>
      <c r="U101" s="305"/>
      <c r="V101" s="305"/>
      <c r="W101" s="305"/>
      <c r="X101" s="305"/>
      <c r="Y101" s="305"/>
      <c r="Z101" s="305"/>
      <c r="AA101" s="305"/>
      <c r="AB101" s="305"/>
      <c r="AC101" s="305"/>
      <c r="AD101" s="305"/>
      <c r="AE101" s="305"/>
    </row>
    <row r="102" spans="1:31">
      <c r="A102" s="305"/>
      <c r="B102" s="305"/>
      <c r="C102" s="305"/>
      <c r="D102" s="305"/>
      <c r="E102" s="305"/>
      <c r="F102" s="305"/>
      <c r="G102" s="305"/>
      <c r="H102" s="305"/>
      <c r="I102" s="305"/>
      <c r="J102" s="305"/>
      <c r="K102" s="305"/>
      <c r="L102" s="305"/>
      <c r="M102" s="305"/>
      <c r="N102" s="305"/>
      <c r="O102" s="305"/>
      <c r="P102" s="305"/>
      <c r="Q102" s="305"/>
      <c r="R102" s="305"/>
      <c r="S102" s="305"/>
      <c r="T102" s="305"/>
      <c r="U102" s="305"/>
      <c r="V102" s="305"/>
      <c r="W102" s="305"/>
      <c r="X102" s="305"/>
      <c r="Y102" s="305"/>
      <c r="Z102" s="305"/>
      <c r="AA102" s="305"/>
      <c r="AB102" s="305"/>
      <c r="AC102" s="305"/>
      <c r="AD102" s="305"/>
      <c r="AE102" s="305"/>
    </row>
    <row r="103" spans="1:31">
      <c r="A103" s="305"/>
      <c r="B103" s="305"/>
      <c r="C103" s="305"/>
      <c r="D103" s="305"/>
      <c r="E103" s="305"/>
      <c r="F103" s="305"/>
      <c r="G103" s="305"/>
      <c r="H103" s="305"/>
      <c r="I103" s="305"/>
      <c r="J103" s="305"/>
      <c r="K103" s="305"/>
      <c r="L103" s="305"/>
      <c r="M103" s="305"/>
      <c r="N103" s="305"/>
      <c r="O103" s="305"/>
      <c r="P103" s="305"/>
      <c r="Q103" s="305"/>
      <c r="R103" s="305"/>
      <c r="S103" s="305"/>
      <c r="T103" s="305"/>
      <c r="U103" s="305"/>
      <c r="V103" s="305"/>
      <c r="W103" s="305"/>
      <c r="X103" s="305"/>
      <c r="Y103" s="305"/>
      <c r="Z103" s="305"/>
      <c r="AA103" s="305"/>
      <c r="AB103" s="305"/>
      <c r="AC103" s="305"/>
      <c r="AD103" s="305"/>
      <c r="AE103" s="305"/>
    </row>
    <row r="104" spans="1:31">
      <c r="A104" s="305"/>
      <c r="B104" s="305"/>
      <c r="C104" s="305"/>
      <c r="D104" s="305"/>
      <c r="E104" s="305"/>
      <c r="F104" s="305"/>
      <c r="G104" s="305"/>
      <c r="H104" s="305"/>
      <c r="I104" s="305"/>
      <c r="J104" s="305"/>
      <c r="K104" s="305"/>
      <c r="L104" s="305"/>
      <c r="M104" s="305"/>
      <c r="N104" s="305"/>
      <c r="O104" s="305"/>
      <c r="P104" s="305"/>
      <c r="Q104" s="305"/>
      <c r="R104" s="305"/>
      <c r="S104" s="305"/>
      <c r="T104" s="305"/>
      <c r="U104" s="305"/>
      <c r="V104" s="305"/>
      <c r="W104" s="305"/>
      <c r="X104" s="305"/>
      <c r="Y104" s="305"/>
      <c r="Z104" s="305"/>
      <c r="AA104" s="305"/>
      <c r="AB104" s="305"/>
      <c r="AC104" s="305"/>
      <c r="AD104" s="305"/>
      <c r="AE104" s="305"/>
    </row>
    <row r="105" spans="1:31">
      <c r="A105" s="305"/>
      <c r="B105" s="305"/>
      <c r="C105" s="305"/>
      <c r="D105" s="305"/>
      <c r="E105" s="305"/>
      <c r="F105" s="305"/>
      <c r="G105" s="305"/>
      <c r="H105" s="305"/>
      <c r="I105" s="305"/>
      <c r="J105" s="305"/>
      <c r="K105" s="305"/>
      <c r="L105" s="305"/>
      <c r="M105" s="305"/>
      <c r="N105" s="305"/>
      <c r="O105" s="305"/>
      <c r="P105" s="305"/>
      <c r="Q105" s="305"/>
      <c r="R105" s="305"/>
      <c r="S105" s="305"/>
      <c r="T105" s="305"/>
      <c r="U105" s="305"/>
      <c r="V105" s="305"/>
      <c r="W105" s="305"/>
      <c r="X105" s="305"/>
      <c r="Y105" s="305"/>
      <c r="Z105" s="305"/>
      <c r="AA105" s="305"/>
      <c r="AB105" s="305"/>
      <c r="AC105" s="305"/>
      <c r="AD105" s="305"/>
      <c r="AE105" s="305"/>
    </row>
    <row r="106" spans="1:31">
      <c r="A106" s="305"/>
      <c r="B106" s="305"/>
      <c r="C106" s="305"/>
      <c r="D106" s="305"/>
      <c r="E106" s="305"/>
      <c r="F106" s="305"/>
      <c r="G106" s="305"/>
      <c r="H106" s="305"/>
      <c r="I106" s="305"/>
      <c r="J106" s="305"/>
      <c r="K106" s="305"/>
      <c r="L106" s="305"/>
      <c r="M106" s="305"/>
      <c r="N106" s="305"/>
      <c r="O106" s="305"/>
      <c r="P106" s="305"/>
      <c r="Q106" s="305"/>
      <c r="R106" s="305"/>
      <c r="S106" s="305"/>
      <c r="T106" s="305"/>
      <c r="U106" s="305"/>
      <c r="V106" s="305"/>
      <c r="W106" s="305"/>
      <c r="X106" s="305"/>
      <c r="Y106" s="305"/>
      <c r="Z106" s="305"/>
      <c r="AA106" s="305"/>
      <c r="AB106" s="305"/>
      <c r="AC106" s="305"/>
      <c r="AD106" s="305"/>
      <c r="AE106" s="305"/>
    </row>
    <row r="107" spans="1:31">
      <c r="A107" s="305"/>
      <c r="B107" s="305"/>
      <c r="C107" s="305"/>
      <c r="D107" s="305"/>
      <c r="E107" s="305"/>
      <c r="F107" s="305"/>
      <c r="G107" s="305"/>
      <c r="H107" s="305"/>
      <c r="I107" s="305"/>
      <c r="J107" s="305"/>
      <c r="K107" s="305"/>
      <c r="L107" s="305"/>
      <c r="M107" s="305"/>
      <c r="N107" s="305"/>
      <c r="O107" s="305"/>
      <c r="P107" s="305"/>
      <c r="Q107" s="305"/>
      <c r="R107" s="305"/>
      <c r="S107" s="305"/>
      <c r="T107" s="305"/>
      <c r="U107" s="305"/>
      <c r="V107" s="305"/>
      <c r="W107" s="305"/>
      <c r="X107" s="305"/>
      <c r="Y107" s="305"/>
      <c r="Z107" s="305"/>
      <c r="AA107" s="305"/>
      <c r="AB107" s="305"/>
      <c r="AC107" s="305"/>
      <c r="AD107" s="305"/>
      <c r="AE107" s="305"/>
    </row>
    <row r="108" spans="1:31">
      <c r="A108" s="305"/>
      <c r="B108" s="305"/>
      <c r="C108" s="305"/>
      <c r="D108" s="305"/>
      <c r="E108" s="305"/>
      <c r="F108" s="305"/>
      <c r="G108" s="305"/>
      <c r="H108" s="305"/>
      <c r="I108" s="305"/>
      <c r="J108" s="305"/>
      <c r="K108" s="305"/>
      <c r="L108" s="305"/>
      <c r="M108" s="305"/>
      <c r="N108" s="305"/>
      <c r="O108" s="305"/>
      <c r="P108" s="305"/>
      <c r="Q108" s="305"/>
      <c r="R108" s="305"/>
      <c r="S108" s="305"/>
      <c r="T108" s="305"/>
      <c r="U108" s="305"/>
      <c r="V108" s="305"/>
      <c r="W108" s="305"/>
      <c r="X108" s="305"/>
      <c r="Y108" s="305"/>
      <c r="Z108" s="305"/>
      <c r="AA108" s="305"/>
      <c r="AB108" s="305"/>
      <c r="AC108" s="305"/>
      <c r="AD108" s="305"/>
      <c r="AE108" s="305"/>
    </row>
    <row r="109" spans="1:31">
      <c r="A109" s="305"/>
      <c r="B109" s="305"/>
      <c r="C109" s="305"/>
      <c r="D109" s="305"/>
      <c r="E109" s="305"/>
      <c r="F109" s="305"/>
      <c r="G109" s="305"/>
      <c r="H109" s="305"/>
      <c r="I109" s="305"/>
      <c r="J109" s="305"/>
      <c r="K109" s="305"/>
      <c r="L109" s="305"/>
      <c r="M109" s="305"/>
      <c r="N109" s="305"/>
      <c r="O109" s="305"/>
      <c r="P109" s="305"/>
      <c r="Q109" s="305"/>
      <c r="R109" s="305"/>
      <c r="S109" s="305"/>
      <c r="T109" s="305"/>
      <c r="U109" s="305"/>
      <c r="V109" s="305"/>
      <c r="W109" s="305"/>
      <c r="X109" s="305"/>
      <c r="Y109" s="305"/>
      <c r="Z109" s="305"/>
      <c r="AA109" s="305"/>
      <c r="AB109" s="305"/>
      <c r="AC109" s="305"/>
      <c r="AD109" s="305"/>
      <c r="AE109" s="305"/>
    </row>
    <row r="110" spans="1:31">
      <c r="A110" s="305"/>
      <c r="B110" s="305"/>
      <c r="C110" s="305"/>
      <c r="D110" s="305"/>
      <c r="E110" s="305"/>
      <c r="F110" s="305"/>
      <c r="G110" s="305"/>
      <c r="H110" s="305"/>
      <c r="I110" s="305"/>
      <c r="J110" s="305"/>
      <c r="K110" s="305"/>
      <c r="L110" s="305"/>
      <c r="M110" s="305"/>
      <c r="N110" s="305"/>
      <c r="O110" s="305"/>
      <c r="P110" s="305"/>
      <c r="Q110" s="305"/>
      <c r="R110" s="305"/>
      <c r="S110" s="305"/>
      <c r="T110" s="305"/>
      <c r="U110" s="305"/>
      <c r="V110" s="305"/>
      <c r="W110" s="305"/>
      <c r="X110" s="305"/>
      <c r="Y110" s="305"/>
      <c r="Z110" s="305"/>
      <c r="AA110" s="305"/>
      <c r="AB110" s="305"/>
      <c r="AC110" s="305"/>
      <c r="AD110" s="305"/>
      <c r="AE110" s="305"/>
    </row>
    <row r="111" spans="1:31">
      <c r="A111" s="305"/>
      <c r="B111" s="305"/>
      <c r="C111" s="305"/>
      <c r="D111" s="305"/>
      <c r="E111" s="305"/>
      <c r="F111" s="305"/>
      <c r="G111" s="305"/>
      <c r="H111" s="305"/>
      <c r="I111" s="305"/>
      <c r="J111" s="305"/>
      <c r="K111" s="305"/>
      <c r="L111" s="305"/>
      <c r="M111" s="305"/>
      <c r="N111" s="305"/>
      <c r="O111" s="305"/>
      <c r="P111" s="305"/>
      <c r="Q111" s="305"/>
      <c r="R111" s="305"/>
      <c r="S111" s="305"/>
      <c r="T111" s="305"/>
      <c r="U111" s="305"/>
      <c r="V111" s="305"/>
      <c r="W111" s="305"/>
      <c r="X111" s="305"/>
      <c r="Y111" s="305"/>
      <c r="Z111" s="305"/>
      <c r="AA111" s="305"/>
      <c r="AB111" s="305"/>
      <c r="AC111" s="305"/>
      <c r="AD111" s="305"/>
      <c r="AE111" s="305"/>
    </row>
    <row r="112" spans="1:31">
      <c r="A112" s="305"/>
      <c r="B112" s="305"/>
      <c r="C112" s="305"/>
      <c r="D112" s="305"/>
      <c r="E112" s="305"/>
      <c r="F112" s="305"/>
      <c r="G112" s="305"/>
      <c r="H112" s="305"/>
      <c r="I112" s="305"/>
      <c r="J112" s="305"/>
      <c r="K112" s="305"/>
      <c r="L112" s="305"/>
      <c r="M112" s="305"/>
      <c r="N112" s="305"/>
      <c r="O112" s="305"/>
      <c r="P112" s="305"/>
      <c r="Q112" s="305"/>
      <c r="R112" s="305"/>
      <c r="S112" s="305"/>
      <c r="T112" s="305"/>
      <c r="U112" s="305"/>
      <c r="V112" s="305"/>
      <c r="W112" s="305"/>
      <c r="X112" s="305"/>
      <c r="Y112" s="305"/>
      <c r="Z112" s="305"/>
      <c r="AA112" s="305"/>
      <c r="AB112" s="305"/>
      <c r="AC112" s="305"/>
      <c r="AD112" s="305"/>
      <c r="AE112" s="305"/>
    </row>
    <row r="113" spans="1:31">
      <c r="A113" s="305"/>
      <c r="B113" s="305"/>
      <c r="C113" s="305"/>
      <c r="D113" s="305"/>
      <c r="E113" s="305"/>
      <c r="F113" s="305"/>
      <c r="G113" s="305"/>
      <c r="H113" s="305"/>
      <c r="I113" s="305"/>
      <c r="J113" s="305"/>
      <c r="K113" s="305"/>
      <c r="L113" s="305"/>
      <c r="M113" s="305"/>
      <c r="N113" s="305"/>
      <c r="O113" s="305"/>
      <c r="P113" s="305"/>
      <c r="Q113" s="305"/>
      <c r="R113" s="305"/>
      <c r="S113" s="305"/>
      <c r="T113" s="305"/>
      <c r="U113" s="305"/>
      <c r="V113" s="305"/>
      <c r="W113" s="305"/>
      <c r="X113" s="305"/>
      <c r="Y113" s="305"/>
      <c r="Z113" s="305"/>
      <c r="AA113" s="305"/>
      <c r="AB113" s="305"/>
      <c r="AC113" s="305"/>
      <c r="AD113" s="305"/>
      <c r="AE113" s="305"/>
    </row>
    <row r="114" spans="1:31">
      <c r="A114" s="305"/>
      <c r="B114" s="305"/>
      <c r="C114" s="305"/>
      <c r="D114" s="305"/>
      <c r="E114" s="305"/>
      <c r="F114" s="305"/>
      <c r="G114" s="305"/>
      <c r="H114" s="305"/>
      <c r="I114" s="305"/>
      <c r="J114" s="305"/>
      <c r="K114" s="305"/>
      <c r="L114" s="305"/>
      <c r="M114" s="305"/>
      <c r="N114" s="305"/>
      <c r="O114" s="305"/>
      <c r="P114" s="305"/>
      <c r="Q114" s="305"/>
      <c r="R114" s="305"/>
      <c r="S114" s="305"/>
      <c r="T114" s="305"/>
      <c r="U114" s="305"/>
      <c r="V114" s="305"/>
      <c r="W114" s="305"/>
      <c r="X114" s="305"/>
      <c r="Y114" s="305"/>
      <c r="Z114" s="305"/>
      <c r="AA114" s="305"/>
      <c r="AB114" s="305"/>
      <c r="AC114" s="305"/>
      <c r="AD114" s="305"/>
      <c r="AE114" s="305"/>
    </row>
    <row r="115" spans="1:31">
      <c r="A115" s="305"/>
      <c r="B115" s="305"/>
      <c r="C115" s="305"/>
      <c r="D115" s="305"/>
      <c r="E115" s="305"/>
      <c r="F115" s="305"/>
      <c r="G115" s="305"/>
      <c r="H115" s="305"/>
      <c r="I115" s="305"/>
      <c r="J115" s="305"/>
      <c r="K115" s="305"/>
      <c r="L115" s="305"/>
      <c r="M115" s="305"/>
      <c r="N115" s="305"/>
      <c r="O115" s="305"/>
      <c r="P115" s="305"/>
      <c r="Q115" s="305"/>
      <c r="R115" s="305"/>
      <c r="S115" s="305"/>
      <c r="T115" s="305"/>
      <c r="U115" s="305"/>
      <c r="V115" s="305"/>
      <c r="W115" s="305"/>
      <c r="X115" s="305"/>
      <c r="Y115" s="305"/>
      <c r="Z115" s="305"/>
      <c r="AA115" s="305"/>
      <c r="AB115" s="305"/>
      <c r="AC115" s="305"/>
      <c r="AD115" s="305"/>
      <c r="AE115" s="305"/>
    </row>
    <row r="116" spans="1:31">
      <c r="A116" s="305"/>
      <c r="B116" s="305"/>
      <c r="C116" s="305"/>
      <c r="D116" s="305"/>
      <c r="E116" s="305"/>
      <c r="F116" s="305"/>
      <c r="G116" s="305"/>
      <c r="H116" s="305"/>
      <c r="I116" s="305"/>
      <c r="J116" s="305"/>
      <c r="K116" s="305"/>
      <c r="L116" s="305"/>
      <c r="M116" s="305"/>
      <c r="N116" s="305"/>
      <c r="O116" s="305"/>
      <c r="P116" s="305"/>
      <c r="Q116" s="305"/>
      <c r="R116" s="305"/>
      <c r="S116" s="305"/>
      <c r="T116" s="305"/>
      <c r="U116" s="305"/>
      <c r="V116" s="305"/>
      <c r="W116" s="305"/>
      <c r="X116" s="305"/>
      <c r="Y116" s="305"/>
      <c r="Z116" s="305"/>
      <c r="AA116" s="305"/>
      <c r="AB116" s="305"/>
      <c r="AC116" s="305"/>
      <c r="AD116" s="305"/>
      <c r="AE116" s="305"/>
    </row>
    <row r="117" spans="1:31">
      <c r="A117" s="305"/>
      <c r="B117" s="305"/>
      <c r="C117" s="305"/>
      <c r="D117" s="305"/>
      <c r="E117" s="305"/>
      <c r="F117" s="305"/>
      <c r="G117" s="305"/>
      <c r="H117" s="305"/>
      <c r="I117" s="305"/>
      <c r="J117" s="305"/>
      <c r="K117" s="305"/>
      <c r="L117" s="305"/>
      <c r="M117" s="305"/>
      <c r="N117" s="305"/>
      <c r="O117" s="305"/>
      <c r="P117" s="305"/>
      <c r="Q117" s="305"/>
      <c r="R117" s="305"/>
      <c r="S117" s="305"/>
      <c r="T117" s="305"/>
      <c r="U117" s="305"/>
      <c r="V117" s="305"/>
      <c r="W117" s="305"/>
      <c r="X117" s="305"/>
      <c r="Y117" s="305"/>
      <c r="Z117" s="305"/>
      <c r="AA117" s="305"/>
      <c r="AB117" s="305"/>
      <c r="AC117" s="305"/>
      <c r="AD117" s="305"/>
      <c r="AE117" s="305"/>
    </row>
    <row r="118" spans="1:31">
      <c r="A118" s="305"/>
      <c r="B118" s="305"/>
      <c r="C118" s="305"/>
      <c r="D118" s="305"/>
      <c r="E118" s="305"/>
      <c r="F118" s="305"/>
      <c r="G118" s="305"/>
      <c r="H118" s="305"/>
      <c r="I118" s="305"/>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row>
    <row r="119" spans="1:31">
      <c r="A119" s="305"/>
      <c r="B119" s="305"/>
      <c r="C119" s="305"/>
      <c r="D119" s="305"/>
      <c r="E119" s="305"/>
      <c r="F119" s="305"/>
      <c r="G119" s="305"/>
      <c r="H119" s="305"/>
      <c r="I119" s="305"/>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row>
    <row r="120" spans="1:31">
      <c r="A120" s="305"/>
      <c r="B120" s="305"/>
      <c r="C120" s="305"/>
      <c r="D120" s="305"/>
      <c r="E120" s="305"/>
      <c r="F120" s="305"/>
      <c r="G120" s="305"/>
      <c r="H120" s="305"/>
      <c r="I120" s="305"/>
      <c r="J120" s="305"/>
      <c r="K120" s="305"/>
      <c r="L120" s="305"/>
      <c r="M120" s="305"/>
      <c r="N120" s="305"/>
      <c r="O120" s="305"/>
      <c r="P120" s="305"/>
      <c r="Q120" s="305"/>
      <c r="R120" s="305"/>
      <c r="S120" s="305"/>
      <c r="T120" s="305"/>
      <c r="U120" s="305"/>
      <c r="V120" s="305"/>
      <c r="W120" s="305"/>
      <c r="X120" s="305"/>
      <c r="Y120" s="305"/>
      <c r="Z120" s="305"/>
      <c r="AA120" s="305"/>
      <c r="AB120" s="305"/>
      <c r="AC120" s="305"/>
      <c r="AD120" s="305"/>
      <c r="AE120" s="305"/>
    </row>
    <row r="121" spans="1:31">
      <c r="A121" s="305"/>
      <c r="B121" s="305"/>
      <c r="C121" s="305"/>
      <c r="D121" s="305"/>
      <c r="E121" s="305"/>
      <c r="F121" s="305"/>
      <c r="G121" s="305"/>
      <c r="H121" s="305"/>
      <c r="I121" s="305"/>
      <c r="J121" s="305"/>
      <c r="K121" s="305"/>
      <c r="L121" s="305"/>
      <c r="M121" s="305"/>
      <c r="N121" s="305"/>
      <c r="O121" s="305"/>
      <c r="P121" s="305"/>
      <c r="Q121" s="305"/>
      <c r="R121" s="305"/>
      <c r="S121" s="305"/>
      <c r="T121" s="305"/>
      <c r="U121" s="305"/>
      <c r="V121" s="305"/>
      <c r="W121" s="305"/>
      <c r="X121" s="305"/>
      <c r="Y121" s="305"/>
      <c r="Z121" s="305"/>
      <c r="AA121" s="305"/>
      <c r="AB121" s="305"/>
      <c r="AC121" s="305"/>
      <c r="AD121" s="305"/>
      <c r="AE121" s="305"/>
    </row>
    <row r="122" spans="1:31">
      <c r="A122" s="305"/>
      <c r="B122" s="305"/>
      <c r="C122" s="305"/>
      <c r="D122" s="305"/>
      <c r="E122" s="305"/>
      <c r="F122" s="305"/>
      <c r="G122" s="305"/>
      <c r="H122" s="305"/>
      <c r="I122" s="305"/>
      <c r="J122" s="305"/>
      <c r="K122" s="305"/>
      <c r="L122" s="305"/>
      <c r="M122" s="305"/>
      <c r="N122" s="305"/>
      <c r="O122" s="305"/>
      <c r="P122" s="305"/>
      <c r="Q122" s="305"/>
      <c r="R122" s="305"/>
      <c r="S122" s="305"/>
      <c r="T122" s="305"/>
      <c r="U122" s="305"/>
      <c r="V122" s="305"/>
      <c r="W122" s="305"/>
      <c r="X122" s="305"/>
      <c r="Y122" s="305"/>
      <c r="Z122" s="305"/>
      <c r="AA122" s="305"/>
      <c r="AB122" s="305"/>
      <c r="AC122" s="305"/>
      <c r="AD122" s="305"/>
      <c r="AE122" s="305"/>
    </row>
    <row r="123" spans="1:31">
      <c r="A123" s="305"/>
      <c r="B123" s="305"/>
      <c r="C123" s="305"/>
      <c r="D123" s="305"/>
      <c r="E123" s="305"/>
      <c r="F123" s="305"/>
      <c r="G123" s="305"/>
      <c r="H123" s="305"/>
      <c r="I123" s="305"/>
      <c r="J123" s="305"/>
      <c r="K123" s="305"/>
      <c r="L123" s="305"/>
      <c r="M123" s="305"/>
      <c r="N123" s="305"/>
      <c r="O123" s="305"/>
      <c r="P123" s="305"/>
      <c r="Q123" s="305"/>
      <c r="R123" s="305"/>
      <c r="S123" s="305"/>
      <c r="T123" s="305"/>
      <c r="U123" s="305"/>
      <c r="V123" s="305"/>
      <c r="W123" s="305"/>
      <c r="X123" s="305"/>
      <c r="Y123" s="305"/>
      <c r="Z123" s="305"/>
      <c r="AA123" s="305"/>
      <c r="AB123" s="305"/>
      <c r="AC123" s="305"/>
      <c r="AD123" s="305"/>
      <c r="AE123" s="305"/>
    </row>
    <row r="124" spans="1:31">
      <c r="A124" s="305"/>
      <c r="B124" s="305"/>
      <c r="C124" s="305"/>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row>
    <row r="125" spans="1:31">
      <c r="A125" s="305"/>
      <c r="B125" s="305"/>
      <c r="C125" s="305"/>
      <c r="D125" s="305"/>
      <c r="E125" s="305"/>
      <c r="F125" s="305"/>
      <c r="G125" s="305"/>
      <c r="H125" s="305"/>
      <c r="I125" s="305"/>
      <c r="J125" s="305"/>
      <c r="K125" s="305"/>
      <c r="L125" s="305"/>
      <c r="M125" s="305"/>
      <c r="N125" s="305"/>
      <c r="O125" s="305"/>
      <c r="P125" s="305"/>
      <c r="Q125" s="305"/>
      <c r="R125" s="305"/>
      <c r="S125" s="305"/>
      <c r="T125" s="305"/>
      <c r="U125" s="305"/>
      <c r="V125" s="305"/>
      <c r="W125" s="305"/>
      <c r="X125" s="305"/>
      <c r="Y125" s="305"/>
      <c r="Z125" s="305"/>
      <c r="AA125" s="305"/>
      <c r="AB125" s="305"/>
      <c r="AC125" s="305"/>
      <c r="AD125" s="305"/>
      <c r="AE125" s="305"/>
    </row>
    <row r="126" spans="1:31">
      <c r="A126" s="305"/>
      <c r="B126" s="305"/>
      <c r="C126" s="305"/>
      <c r="D126" s="305"/>
      <c r="E126" s="305"/>
      <c r="F126" s="305"/>
      <c r="G126" s="305"/>
      <c r="H126" s="305"/>
      <c r="I126" s="305"/>
      <c r="J126" s="305"/>
      <c r="K126" s="305"/>
      <c r="L126" s="305"/>
      <c r="M126" s="305"/>
      <c r="N126" s="305"/>
      <c r="O126" s="305"/>
      <c r="P126" s="305"/>
      <c r="Q126" s="305"/>
      <c r="R126" s="305"/>
      <c r="S126" s="305"/>
      <c r="T126" s="305"/>
      <c r="U126" s="305"/>
      <c r="V126" s="305"/>
      <c r="W126" s="305"/>
      <c r="X126" s="305"/>
      <c r="Y126" s="305"/>
      <c r="Z126" s="305"/>
      <c r="AA126" s="305"/>
      <c r="AB126" s="305"/>
      <c r="AC126" s="305"/>
      <c r="AD126" s="305"/>
      <c r="AE126" s="305"/>
    </row>
    <row r="127" spans="1:31">
      <c r="A127" s="305"/>
      <c r="B127" s="305"/>
      <c r="C127" s="305"/>
      <c r="D127" s="305"/>
      <c r="E127" s="305"/>
      <c r="F127" s="305"/>
      <c r="G127" s="305"/>
      <c r="H127" s="305"/>
      <c r="I127" s="305"/>
      <c r="J127" s="305"/>
      <c r="K127" s="305"/>
      <c r="L127" s="305"/>
      <c r="M127" s="305"/>
      <c r="N127" s="305"/>
      <c r="O127" s="305"/>
      <c r="P127" s="305"/>
      <c r="Q127" s="305"/>
      <c r="R127" s="305"/>
      <c r="S127" s="305"/>
      <c r="T127" s="305"/>
      <c r="U127" s="305"/>
      <c r="V127" s="305"/>
      <c r="W127" s="305"/>
      <c r="X127" s="305"/>
      <c r="Y127" s="305"/>
      <c r="Z127" s="305"/>
      <c r="AA127" s="305"/>
      <c r="AB127" s="305"/>
      <c r="AC127" s="305"/>
      <c r="AD127" s="305"/>
      <c r="AE127" s="305"/>
    </row>
    <row r="128" spans="1:31">
      <c r="A128" s="305"/>
      <c r="B128" s="305"/>
      <c r="C128" s="305"/>
      <c r="D128" s="305"/>
      <c r="E128" s="305"/>
      <c r="F128" s="305"/>
      <c r="G128" s="305"/>
      <c r="H128" s="305"/>
      <c r="I128" s="305"/>
      <c r="J128" s="305"/>
      <c r="K128" s="305"/>
      <c r="L128" s="305"/>
      <c r="M128" s="305"/>
      <c r="N128" s="305"/>
      <c r="O128" s="305"/>
      <c r="P128" s="305"/>
      <c r="Q128" s="305"/>
      <c r="R128" s="305"/>
      <c r="S128" s="305"/>
      <c r="T128" s="305"/>
      <c r="U128" s="305"/>
      <c r="V128" s="305"/>
      <c r="W128" s="305"/>
      <c r="X128" s="305"/>
      <c r="Y128" s="305"/>
      <c r="Z128" s="305"/>
      <c r="AA128" s="305"/>
      <c r="AB128" s="305"/>
      <c r="AC128" s="305"/>
      <c r="AD128" s="305"/>
      <c r="AE128" s="305"/>
    </row>
    <row r="129" spans="1:31">
      <c r="A129" s="305"/>
      <c r="B129" s="305"/>
      <c r="C129" s="305"/>
      <c r="D129" s="305"/>
      <c r="E129" s="305"/>
      <c r="F129" s="305"/>
      <c r="G129" s="305"/>
      <c r="H129" s="305"/>
      <c r="I129" s="305"/>
      <c r="J129" s="305"/>
      <c r="K129" s="305"/>
      <c r="L129" s="305"/>
      <c r="M129" s="305"/>
      <c r="N129" s="305"/>
      <c r="O129" s="305"/>
      <c r="P129" s="305"/>
      <c r="Q129" s="305"/>
      <c r="R129" s="305"/>
      <c r="S129" s="305"/>
      <c r="T129" s="305"/>
      <c r="U129" s="305"/>
      <c r="V129" s="305"/>
      <c r="W129" s="305"/>
      <c r="X129" s="305"/>
      <c r="Y129" s="305"/>
      <c r="Z129" s="305"/>
      <c r="AA129" s="305"/>
      <c r="AB129" s="305"/>
      <c r="AC129" s="305"/>
      <c r="AD129" s="305"/>
      <c r="AE129" s="305"/>
    </row>
    <row r="130" spans="1:31">
      <c r="A130" s="305"/>
      <c r="B130" s="305"/>
      <c r="C130" s="305"/>
      <c r="D130" s="305"/>
      <c r="E130" s="305"/>
      <c r="F130" s="305"/>
      <c r="G130" s="305"/>
      <c r="H130" s="305"/>
      <c r="I130" s="305"/>
      <c r="J130" s="305"/>
      <c r="K130" s="305"/>
      <c r="L130" s="305"/>
      <c r="M130" s="305"/>
      <c r="N130" s="305"/>
      <c r="O130" s="305"/>
      <c r="P130" s="305"/>
      <c r="Q130" s="305"/>
      <c r="R130" s="305"/>
      <c r="S130" s="305"/>
      <c r="T130" s="305"/>
      <c r="U130" s="305"/>
      <c r="V130" s="305"/>
      <c r="W130" s="305"/>
      <c r="X130" s="305"/>
      <c r="Y130" s="305"/>
      <c r="Z130" s="305"/>
      <c r="AA130" s="305"/>
      <c r="AB130" s="305"/>
      <c r="AC130" s="305"/>
      <c r="AD130" s="305"/>
      <c r="AE130" s="305"/>
    </row>
    <row r="131" spans="1:31">
      <c r="A131" s="305"/>
      <c r="B131" s="305"/>
      <c r="C131" s="305"/>
      <c r="D131" s="305"/>
      <c r="E131" s="305"/>
      <c r="F131" s="305"/>
      <c r="G131" s="305"/>
      <c r="H131" s="305"/>
      <c r="I131" s="305"/>
      <c r="J131" s="305"/>
      <c r="K131" s="305"/>
      <c r="L131" s="305"/>
      <c r="M131" s="305"/>
      <c r="N131" s="305"/>
      <c r="O131" s="305"/>
      <c r="P131" s="305"/>
      <c r="Q131" s="305"/>
      <c r="R131" s="305"/>
      <c r="S131" s="305"/>
      <c r="T131" s="305"/>
      <c r="U131" s="305"/>
      <c r="V131" s="305"/>
      <c r="W131" s="305"/>
      <c r="X131" s="305"/>
      <c r="Y131" s="305"/>
      <c r="Z131" s="305"/>
      <c r="AA131" s="305"/>
      <c r="AB131" s="305"/>
      <c r="AC131" s="305"/>
      <c r="AD131" s="305"/>
      <c r="AE131" s="305"/>
    </row>
    <row r="132" spans="1:31">
      <c r="A132" s="305"/>
      <c r="B132" s="305"/>
      <c r="C132" s="305"/>
      <c r="D132" s="305"/>
      <c r="E132" s="305"/>
      <c r="F132" s="305"/>
      <c r="G132" s="305"/>
      <c r="H132" s="305"/>
      <c r="I132" s="305"/>
      <c r="J132" s="305"/>
      <c r="K132" s="305"/>
      <c r="L132" s="305"/>
      <c r="M132" s="305"/>
      <c r="N132" s="305"/>
      <c r="O132" s="305"/>
      <c r="P132" s="305"/>
      <c r="Q132" s="305"/>
      <c r="R132" s="305"/>
      <c r="S132" s="305"/>
      <c r="T132" s="305"/>
      <c r="U132" s="305"/>
      <c r="V132" s="305"/>
      <c r="W132" s="305"/>
      <c r="X132" s="305"/>
      <c r="Y132" s="305"/>
      <c r="Z132" s="305"/>
      <c r="AA132" s="305"/>
      <c r="AB132" s="305"/>
      <c r="AC132" s="305"/>
      <c r="AD132" s="305"/>
      <c r="AE132" s="305"/>
    </row>
    <row r="133" spans="1:31">
      <c r="A133" s="305"/>
      <c r="B133" s="305"/>
      <c r="C133" s="305"/>
      <c r="D133" s="305"/>
      <c r="E133" s="305"/>
      <c r="F133" s="305"/>
      <c r="G133" s="305"/>
      <c r="H133" s="305"/>
      <c r="I133" s="305"/>
      <c r="J133" s="305"/>
      <c r="K133" s="305"/>
      <c r="L133" s="305"/>
      <c r="M133" s="305"/>
      <c r="N133" s="305"/>
      <c r="O133" s="305"/>
      <c r="P133" s="305"/>
      <c r="Q133" s="305"/>
      <c r="R133" s="305"/>
      <c r="S133" s="305"/>
      <c r="T133" s="305"/>
      <c r="U133" s="305"/>
      <c r="V133" s="305"/>
      <c r="W133" s="305"/>
      <c r="X133" s="305"/>
      <c r="Y133" s="305"/>
      <c r="Z133" s="305"/>
      <c r="AA133" s="305"/>
      <c r="AB133" s="305"/>
      <c r="AC133" s="305"/>
      <c r="AD133" s="305"/>
      <c r="AE133" s="305"/>
    </row>
    <row r="134" spans="1:31">
      <c r="A134" s="305"/>
      <c r="B134" s="305"/>
      <c r="C134" s="305"/>
      <c r="D134" s="305"/>
      <c r="E134" s="305"/>
      <c r="F134" s="305"/>
      <c r="G134" s="305"/>
      <c r="H134" s="305"/>
      <c r="I134" s="305"/>
      <c r="J134" s="305"/>
      <c r="K134" s="305"/>
      <c r="L134" s="305"/>
      <c r="M134" s="305"/>
      <c r="N134" s="305"/>
      <c r="O134" s="305"/>
      <c r="P134" s="305"/>
      <c r="Q134" s="305"/>
      <c r="R134" s="305"/>
      <c r="S134" s="305"/>
      <c r="T134" s="305"/>
      <c r="U134" s="305"/>
      <c r="V134" s="305"/>
      <c r="W134" s="305"/>
      <c r="X134" s="305"/>
      <c r="Y134" s="305"/>
      <c r="Z134" s="305"/>
      <c r="AA134" s="305"/>
      <c r="AB134" s="305"/>
      <c r="AC134" s="305"/>
      <c r="AD134" s="305"/>
      <c r="AE134" s="305"/>
    </row>
    <row r="135" spans="1:31">
      <c r="A135" s="305"/>
      <c r="B135" s="305"/>
      <c r="C135" s="305"/>
      <c r="D135" s="305"/>
      <c r="E135" s="305"/>
      <c r="F135" s="305"/>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row>
    <row r="136" spans="1:31">
      <c r="A136" s="305"/>
      <c r="B136" s="305"/>
      <c r="C136" s="305"/>
      <c r="D136" s="305"/>
      <c r="E136" s="305"/>
      <c r="F136" s="305"/>
      <c r="G136" s="305"/>
      <c r="H136" s="305"/>
      <c r="I136" s="305"/>
      <c r="J136" s="305"/>
      <c r="K136" s="305"/>
      <c r="L136" s="305"/>
      <c r="M136" s="305"/>
      <c r="N136" s="305"/>
      <c r="O136" s="305"/>
      <c r="P136" s="305"/>
      <c r="Q136" s="305"/>
      <c r="R136" s="305"/>
      <c r="S136" s="305"/>
      <c r="T136" s="305"/>
      <c r="U136" s="305"/>
      <c r="V136" s="305"/>
      <c r="W136" s="305"/>
      <c r="X136" s="305"/>
      <c r="Y136" s="305"/>
      <c r="Z136" s="305"/>
      <c r="AA136" s="305"/>
      <c r="AB136" s="305"/>
      <c r="AC136" s="305"/>
      <c r="AD136" s="305"/>
      <c r="AE136" s="305"/>
    </row>
    <row r="137" spans="1:31">
      <c r="A137" s="305"/>
      <c r="B137" s="305"/>
      <c r="C137" s="305"/>
      <c r="D137" s="305"/>
      <c r="E137" s="305"/>
      <c r="F137" s="305"/>
      <c r="G137" s="305"/>
      <c r="H137" s="305"/>
      <c r="I137" s="305"/>
      <c r="J137" s="305"/>
      <c r="K137" s="305"/>
      <c r="L137" s="305"/>
      <c r="M137" s="305"/>
      <c r="N137" s="305"/>
      <c r="O137" s="305"/>
      <c r="P137" s="305"/>
      <c r="Q137" s="305"/>
      <c r="R137" s="305"/>
      <c r="S137" s="305"/>
      <c r="T137" s="305"/>
      <c r="U137" s="305"/>
      <c r="V137" s="305"/>
      <c r="W137" s="305"/>
      <c r="X137" s="305"/>
      <c r="Y137" s="305"/>
      <c r="Z137" s="305"/>
      <c r="AA137" s="305"/>
      <c r="AB137" s="305"/>
      <c r="AC137" s="305"/>
      <c r="AD137" s="305"/>
      <c r="AE137" s="305"/>
    </row>
    <row r="138" spans="1:31">
      <c r="A138" s="305"/>
      <c r="B138" s="305"/>
      <c r="C138" s="305"/>
      <c r="D138" s="305"/>
      <c r="E138" s="305"/>
      <c r="F138" s="305"/>
      <c r="G138" s="305"/>
      <c r="H138" s="305"/>
      <c r="I138" s="305"/>
      <c r="J138" s="305"/>
      <c r="K138" s="305"/>
      <c r="L138" s="305"/>
      <c r="M138" s="305"/>
      <c r="N138" s="305"/>
      <c r="O138" s="305"/>
      <c r="P138" s="305"/>
      <c r="Q138" s="305"/>
      <c r="R138" s="305"/>
      <c r="S138" s="305"/>
      <c r="T138" s="305"/>
      <c r="U138" s="305"/>
      <c r="V138" s="305"/>
      <c r="W138" s="305"/>
      <c r="X138" s="305"/>
      <c r="Y138" s="305"/>
      <c r="Z138" s="305"/>
      <c r="AA138" s="305"/>
      <c r="AB138" s="305"/>
      <c r="AC138" s="305"/>
      <c r="AD138" s="305"/>
      <c r="AE138" s="305"/>
    </row>
    <row r="139" spans="1:31">
      <c r="A139" s="305"/>
      <c r="B139" s="305"/>
      <c r="C139" s="305"/>
      <c r="D139" s="305"/>
      <c r="E139" s="305"/>
      <c r="F139" s="305"/>
      <c r="G139" s="305"/>
      <c r="H139" s="305"/>
      <c r="I139" s="305"/>
      <c r="J139" s="305"/>
      <c r="K139" s="305"/>
      <c r="L139" s="305"/>
      <c r="M139" s="305"/>
      <c r="N139" s="305"/>
      <c r="O139" s="305"/>
      <c r="P139" s="305"/>
      <c r="Q139" s="305"/>
      <c r="R139" s="305"/>
      <c r="S139" s="305"/>
      <c r="T139" s="305"/>
      <c r="U139" s="305"/>
      <c r="V139" s="305"/>
      <c r="W139" s="305"/>
      <c r="X139" s="305"/>
      <c r="Y139" s="305"/>
      <c r="Z139" s="305"/>
      <c r="AA139" s="305"/>
      <c r="AB139" s="305"/>
      <c r="AC139" s="305"/>
      <c r="AD139" s="305"/>
      <c r="AE139" s="305"/>
    </row>
    <row r="140" spans="1:31">
      <c r="A140" s="305"/>
      <c r="B140" s="305"/>
      <c r="C140" s="305"/>
      <c r="D140" s="305"/>
      <c r="E140" s="305"/>
      <c r="F140" s="305"/>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row>
    <row r="141" spans="1:31">
      <c r="A141" s="305"/>
      <c r="B141" s="305"/>
      <c r="C141" s="305"/>
      <c r="D141" s="305"/>
      <c r="E141" s="305"/>
      <c r="F141" s="305"/>
      <c r="G141" s="305"/>
      <c r="H141" s="305"/>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row>
    <row r="142" spans="1:31">
      <c r="A142" s="305"/>
      <c r="B142" s="305"/>
      <c r="C142" s="305"/>
      <c r="D142" s="305"/>
      <c r="E142" s="305"/>
      <c r="F142" s="305"/>
      <c r="G142" s="305"/>
      <c r="H142" s="305"/>
      <c r="I142" s="305"/>
      <c r="J142" s="305"/>
      <c r="K142" s="305"/>
      <c r="L142" s="305"/>
      <c r="M142" s="305"/>
      <c r="N142" s="305"/>
      <c r="O142" s="305"/>
      <c r="P142" s="305"/>
      <c r="Q142" s="305"/>
      <c r="R142" s="305"/>
      <c r="S142" s="305"/>
      <c r="T142" s="305"/>
      <c r="U142" s="305"/>
      <c r="V142" s="305"/>
      <c r="W142" s="305"/>
      <c r="X142" s="305"/>
      <c r="Y142" s="305"/>
      <c r="Z142" s="305"/>
      <c r="AA142" s="305"/>
      <c r="AB142" s="305"/>
      <c r="AC142" s="305"/>
      <c r="AD142" s="305"/>
      <c r="AE142" s="305"/>
    </row>
    <row r="143" spans="1:31">
      <c r="A143" s="305"/>
      <c r="B143" s="305"/>
      <c r="C143" s="305"/>
      <c r="D143" s="305"/>
      <c r="E143" s="305"/>
      <c r="F143" s="305"/>
      <c r="G143" s="305"/>
      <c r="H143" s="305"/>
      <c r="I143" s="305"/>
      <c r="J143" s="305"/>
      <c r="K143" s="305"/>
      <c r="L143" s="305"/>
      <c r="M143" s="305"/>
      <c r="N143" s="305"/>
      <c r="O143" s="305"/>
      <c r="P143" s="305"/>
      <c r="Q143" s="305"/>
      <c r="R143" s="305"/>
      <c r="S143" s="305"/>
      <c r="T143" s="305"/>
      <c r="U143" s="305"/>
      <c r="V143" s="305"/>
      <c r="W143" s="305"/>
      <c r="X143" s="305"/>
      <c r="Y143" s="305"/>
      <c r="Z143" s="305"/>
      <c r="AA143" s="305"/>
      <c r="AB143" s="305"/>
      <c r="AC143" s="305"/>
      <c r="AD143" s="305"/>
      <c r="AE143" s="305"/>
    </row>
    <row r="144" spans="1:31">
      <c r="A144" s="305"/>
      <c r="B144" s="305"/>
      <c r="C144" s="305"/>
      <c r="D144" s="305"/>
      <c r="E144" s="305"/>
      <c r="F144" s="305"/>
      <c r="G144" s="305"/>
      <c r="H144" s="305"/>
      <c r="I144" s="305"/>
      <c r="J144" s="305"/>
      <c r="K144" s="305"/>
      <c r="L144" s="305"/>
      <c r="M144" s="305"/>
      <c r="N144" s="305"/>
      <c r="O144" s="305"/>
      <c r="P144" s="305"/>
      <c r="Q144" s="305"/>
      <c r="R144" s="305"/>
      <c r="S144" s="305"/>
      <c r="T144" s="305"/>
      <c r="U144" s="305"/>
      <c r="V144" s="305"/>
      <c r="W144" s="305"/>
      <c r="X144" s="305"/>
      <c r="Y144" s="305"/>
      <c r="Z144" s="305"/>
      <c r="AA144" s="305"/>
      <c r="AB144" s="305"/>
      <c r="AC144" s="305"/>
      <c r="AD144" s="305"/>
      <c r="AE144" s="305"/>
    </row>
    <row r="145" spans="1:31">
      <c r="A145" s="305"/>
      <c r="B145" s="305"/>
      <c r="C145" s="305"/>
      <c r="D145" s="305"/>
      <c r="E145" s="305"/>
      <c r="F145" s="305"/>
      <c r="G145" s="305"/>
      <c r="H145" s="305"/>
      <c r="I145" s="305"/>
      <c r="J145" s="305"/>
      <c r="K145" s="305"/>
      <c r="L145" s="305"/>
      <c r="M145" s="305"/>
      <c r="N145" s="305"/>
      <c r="O145" s="305"/>
      <c r="P145" s="305"/>
      <c r="Q145" s="305"/>
      <c r="R145" s="305"/>
      <c r="S145" s="305"/>
      <c r="T145" s="305"/>
      <c r="U145" s="305"/>
      <c r="V145" s="305"/>
      <c r="W145" s="305"/>
      <c r="X145" s="305"/>
      <c r="Y145" s="305"/>
      <c r="Z145" s="305"/>
      <c r="AA145" s="305"/>
      <c r="AB145" s="305"/>
      <c r="AC145" s="305"/>
      <c r="AD145" s="305"/>
      <c r="AE145" s="305"/>
    </row>
    <row r="146" spans="1:31">
      <c r="A146" s="305"/>
      <c r="B146" s="305"/>
      <c r="C146" s="305"/>
      <c r="D146" s="305"/>
      <c r="E146" s="305"/>
      <c r="F146" s="305"/>
      <c r="G146" s="305"/>
      <c r="H146" s="305"/>
      <c r="I146" s="305"/>
      <c r="J146" s="305"/>
      <c r="K146" s="305"/>
      <c r="L146" s="305"/>
      <c r="M146" s="305"/>
      <c r="N146" s="305"/>
      <c r="O146" s="305"/>
      <c r="P146" s="305"/>
      <c r="Q146" s="305"/>
      <c r="R146" s="305"/>
      <c r="S146" s="305"/>
      <c r="T146" s="305"/>
      <c r="U146" s="305"/>
      <c r="V146" s="305"/>
      <c r="W146" s="305"/>
      <c r="X146" s="305"/>
      <c r="Y146" s="305"/>
      <c r="Z146" s="305"/>
      <c r="AA146" s="305"/>
      <c r="AB146" s="305"/>
      <c r="AC146" s="305"/>
      <c r="AD146" s="305"/>
      <c r="AE146" s="305"/>
    </row>
    <row r="147" spans="1:31">
      <c r="A147" s="305"/>
      <c r="B147" s="305"/>
      <c r="C147" s="305"/>
      <c r="D147" s="305"/>
      <c r="E147" s="305"/>
      <c r="F147" s="305"/>
      <c r="G147" s="305"/>
      <c r="H147" s="305"/>
      <c r="I147" s="305"/>
      <c r="J147" s="305"/>
      <c r="K147" s="305"/>
      <c r="L147" s="305"/>
      <c r="M147" s="305"/>
      <c r="N147" s="305"/>
      <c r="O147" s="305"/>
      <c r="P147" s="305"/>
      <c r="Q147" s="305"/>
      <c r="R147" s="305"/>
      <c r="S147" s="305"/>
      <c r="T147" s="305"/>
      <c r="U147" s="305"/>
      <c r="V147" s="305"/>
      <c r="W147" s="305"/>
      <c r="X147" s="305"/>
      <c r="Y147" s="305"/>
      <c r="Z147" s="305"/>
      <c r="AA147" s="305"/>
      <c r="AB147" s="305"/>
      <c r="AC147" s="305"/>
      <c r="AD147" s="305"/>
      <c r="AE147" s="305"/>
    </row>
    <row r="148" spans="1:31">
      <c r="A148" s="305"/>
      <c r="B148" s="305"/>
      <c r="C148" s="305"/>
      <c r="D148" s="305"/>
      <c r="E148" s="305"/>
      <c r="F148" s="305"/>
      <c r="G148" s="305"/>
      <c r="H148" s="305"/>
      <c r="I148" s="305"/>
      <c r="J148" s="305"/>
      <c r="K148" s="305"/>
      <c r="L148" s="305"/>
      <c r="M148" s="305"/>
      <c r="N148" s="305"/>
      <c r="O148" s="305"/>
      <c r="P148" s="305"/>
      <c r="Q148" s="305"/>
      <c r="R148" s="305"/>
      <c r="S148" s="305"/>
      <c r="T148" s="305"/>
      <c r="U148" s="305"/>
      <c r="V148" s="305"/>
      <c r="W148" s="305"/>
      <c r="X148" s="305"/>
      <c r="Y148" s="305"/>
      <c r="Z148" s="305"/>
      <c r="AA148" s="305"/>
      <c r="AB148" s="305"/>
      <c r="AC148" s="305"/>
      <c r="AD148" s="305"/>
      <c r="AE148" s="305"/>
    </row>
    <row r="149" spans="1:31">
      <c r="A149" s="305"/>
      <c r="B149" s="305"/>
      <c r="C149" s="305"/>
      <c r="D149" s="305"/>
      <c r="E149" s="305"/>
      <c r="F149" s="305"/>
      <c r="G149" s="305"/>
      <c r="H149" s="305"/>
      <c r="I149" s="305"/>
      <c r="J149" s="305"/>
      <c r="K149" s="305"/>
      <c r="L149" s="305"/>
      <c r="M149" s="305"/>
      <c r="N149" s="305"/>
      <c r="O149" s="305"/>
      <c r="P149" s="305"/>
      <c r="Q149" s="305"/>
      <c r="R149" s="305"/>
      <c r="S149" s="305"/>
      <c r="T149" s="305"/>
      <c r="U149" s="305"/>
      <c r="V149" s="305"/>
      <c r="W149" s="305"/>
      <c r="X149" s="305"/>
      <c r="Y149" s="305"/>
      <c r="Z149" s="305"/>
      <c r="AA149" s="305"/>
      <c r="AB149" s="305"/>
      <c r="AC149" s="305"/>
      <c r="AD149" s="305"/>
      <c r="AE149" s="305"/>
    </row>
    <row r="150" spans="1:31">
      <c r="A150" s="305"/>
      <c r="B150" s="305"/>
      <c r="C150" s="305"/>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05"/>
      <c r="Z150" s="305"/>
      <c r="AA150" s="305"/>
      <c r="AB150" s="305"/>
      <c r="AC150" s="305"/>
      <c r="AD150" s="305"/>
      <c r="AE150" s="305"/>
    </row>
    <row r="151" spans="1:31">
      <c r="A151" s="305"/>
      <c r="B151" s="305"/>
      <c r="C151" s="305"/>
      <c r="D151" s="305"/>
      <c r="E151" s="305"/>
      <c r="F151" s="305"/>
      <c r="G151" s="305"/>
      <c r="H151" s="305"/>
      <c r="I151" s="305"/>
      <c r="J151" s="305"/>
      <c r="K151" s="305"/>
      <c r="L151" s="305"/>
      <c r="M151" s="305"/>
      <c r="N151" s="305"/>
      <c r="O151" s="305"/>
      <c r="P151" s="305"/>
      <c r="Q151" s="305"/>
      <c r="R151" s="305"/>
      <c r="S151" s="305"/>
      <c r="T151" s="305"/>
      <c r="U151" s="305"/>
      <c r="V151" s="305"/>
      <c r="W151" s="305"/>
      <c r="X151" s="305"/>
      <c r="Y151" s="305"/>
      <c r="Z151" s="305"/>
      <c r="AA151" s="305"/>
      <c r="AB151" s="305"/>
      <c r="AC151" s="305"/>
      <c r="AD151" s="305"/>
      <c r="AE151" s="305"/>
    </row>
    <row r="152" spans="1:31">
      <c r="A152" s="305"/>
      <c r="B152" s="305"/>
      <c r="C152" s="305"/>
      <c r="D152" s="305"/>
      <c r="E152" s="305"/>
      <c r="F152" s="305"/>
      <c r="G152" s="305"/>
      <c r="H152" s="305"/>
      <c r="I152" s="305"/>
      <c r="J152" s="305"/>
      <c r="K152" s="305"/>
      <c r="L152" s="305"/>
      <c r="M152" s="305"/>
      <c r="N152" s="305"/>
      <c r="O152" s="305"/>
      <c r="P152" s="305"/>
      <c r="Q152" s="305"/>
      <c r="R152" s="305"/>
      <c r="S152" s="305"/>
      <c r="T152" s="305"/>
      <c r="U152" s="305"/>
      <c r="V152" s="305"/>
      <c r="W152" s="305"/>
      <c r="X152" s="305"/>
      <c r="Y152" s="305"/>
      <c r="Z152" s="305"/>
      <c r="AA152" s="305"/>
      <c r="AB152" s="305"/>
      <c r="AC152" s="305"/>
      <c r="AD152" s="305"/>
      <c r="AE152" s="305"/>
    </row>
    <row r="153" spans="1:31">
      <c r="A153" s="305"/>
      <c r="B153" s="305"/>
      <c r="C153" s="305"/>
      <c r="D153" s="305"/>
      <c r="E153" s="305"/>
      <c r="F153" s="305"/>
      <c r="G153" s="305"/>
      <c r="H153" s="305"/>
      <c r="I153" s="305"/>
      <c r="J153" s="305"/>
      <c r="K153" s="305"/>
      <c r="L153" s="305"/>
      <c r="M153" s="305"/>
      <c r="N153" s="305"/>
      <c r="O153" s="305"/>
      <c r="P153" s="305"/>
      <c r="Q153" s="305"/>
      <c r="R153" s="305"/>
      <c r="S153" s="305"/>
      <c r="T153" s="305"/>
      <c r="U153" s="305"/>
      <c r="V153" s="305"/>
      <c r="W153" s="305"/>
      <c r="X153" s="305"/>
      <c r="Y153" s="305"/>
      <c r="Z153" s="305"/>
      <c r="AA153" s="305"/>
      <c r="AB153" s="305"/>
      <c r="AC153" s="305"/>
      <c r="AD153" s="305"/>
      <c r="AE153" s="305"/>
    </row>
    <row r="154" spans="1:31">
      <c r="A154" s="305"/>
      <c r="B154" s="305"/>
      <c r="C154" s="305"/>
      <c r="D154" s="305"/>
      <c r="E154" s="305"/>
      <c r="F154" s="305"/>
      <c r="G154" s="305"/>
      <c r="H154" s="305"/>
      <c r="I154" s="305"/>
      <c r="J154" s="305"/>
      <c r="K154" s="305"/>
      <c r="L154" s="305"/>
      <c r="M154" s="305"/>
      <c r="N154" s="305"/>
      <c r="O154" s="305"/>
      <c r="P154" s="305"/>
      <c r="Q154" s="305"/>
      <c r="R154" s="305"/>
      <c r="S154" s="305"/>
      <c r="T154" s="305"/>
      <c r="U154" s="305"/>
      <c r="V154" s="305"/>
      <c r="W154" s="305"/>
      <c r="X154" s="305"/>
      <c r="Y154" s="305"/>
      <c r="Z154" s="305"/>
      <c r="AA154" s="305"/>
      <c r="AB154" s="305"/>
      <c r="AC154" s="305"/>
      <c r="AD154" s="305"/>
      <c r="AE154" s="305"/>
    </row>
    <row r="155" spans="1:31">
      <c r="A155" s="305"/>
      <c r="B155" s="305"/>
      <c r="C155" s="305"/>
      <c r="D155" s="305"/>
      <c r="E155" s="305"/>
      <c r="F155" s="305"/>
      <c r="G155" s="305"/>
      <c r="H155" s="305"/>
      <c r="I155" s="305"/>
      <c r="J155" s="305"/>
      <c r="K155" s="305"/>
      <c r="L155" s="305"/>
      <c r="M155" s="305"/>
      <c r="N155" s="305"/>
      <c r="O155" s="305"/>
      <c r="P155" s="305"/>
      <c r="Q155" s="305"/>
      <c r="R155" s="305"/>
      <c r="S155" s="305"/>
      <c r="T155" s="305"/>
      <c r="U155" s="305"/>
      <c r="V155" s="305"/>
      <c r="W155" s="305"/>
      <c r="X155" s="305"/>
      <c r="Y155" s="305"/>
      <c r="Z155" s="305"/>
      <c r="AA155" s="305"/>
      <c r="AB155" s="305"/>
      <c r="AC155" s="305"/>
      <c r="AD155" s="305"/>
      <c r="AE155" s="305"/>
    </row>
    <row r="156" spans="1:31">
      <c r="A156" s="305"/>
      <c r="B156" s="305"/>
      <c r="C156" s="305"/>
      <c r="D156" s="305"/>
      <c r="E156" s="305"/>
      <c r="F156" s="305"/>
      <c r="G156" s="305"/>
      <c r="H156" s="305"/>
      <c r="I156" s="305"/>
      <c r="J156" s="305"/>
      <c r="K156" s="305"/>
      <c r="L156" s="305"/>
      <c r="M156" s="305"/>
      <c r="N156" s="305"/>
      <c r="O156" s="305"/>
      <c r="P156" s="305"/>
      <c r="Q156" s="305"/>
      <c r="R156" s="305"/>
      <c r="S156" s="305"/>
      <c r="T156" s="305"/>
      <c r="U156" s="305"/>
      <c r="V156" s="305"/>
      <c r="W156" s="305"/>
      <c r="X156" s="305"/>
      <c r="Y156" s="305"/>
      <c r="Z156" s="305"/>
      <c r="AA156" s="305"/>
      <c r="AB156" s="305"/>
      <c r="AC156" s="305"/>
      <c r="AD156" s="305"/>
      <c r="AE156" s="305"/>
    </row>
    <row r="157" spans="1:31">
      <c r="A157" s="305"/>
      <c r="B157" s="305"/>
      <c r="C157" s="305"/>
      <c r="D157" s="305"/>
      <c r="E157" s="305"/>
      <c r="F157" s="305"/>
      <c r="G157" s="305"/>
      <c r="H157" s="305"/>
      <c r="I157" s="305"/>
      <c r="J157" s="305"/>
      <c r="K157" s="305"/>
      <c r="L157" s="305"/>
      <c r="M157" s="305"/>
      <c r="N157" s="305"/>
      <c r="O157" s="305"/>
      <c r="P157" s="305"/>
      <c r="Q157" s="305"/>
      <c r="R157" s="305"/>
      <c r="S157" s="305"/>
      <c r="T157" s="305"/>
      <c r="U157" s="305"/>
      <c r="V157" s="305"/>
      <c r="W157" s="305"/>
      <c r="X157" s="305"/>
      <c r="Y157" s="305"/>
      <c r="Z157" s="305"/>
      <c r="AA157" s="305"/>
      <c r="AB157" s="305"/>
      <c r="AC157" s="305"/>
      <c r="AD157" s="305"/>
      <c r="AE157" s="305"/>
    </row>
    <row r="158" spans="1:31">
      <c r="A158" s="305"/>
      <c r="B158" s="305"/>
      <c r="C158" s="305"/>
      <c r="D158" s="305"/>
      <c r="E158" s="305"/>
      <c r="F158" s="305"/>
      <c r="G158" s="305"/>
      <c r="H158" s="305"/>
      <c r="I158" s="305"/>
      <c r="J158" s="305"/>
      <c r="K158" s="305"/>
      <c r="L158" s="305"/>
      <c r="M158" s="305"/>
      <c r="N158" s="305"/>
      <c r="O158" s="305"/>
      <c r="P158" s="305"/>
      <c r="Q158" s="305"/>
      <c r="R158" s="305"/>
      <c r="S158" s="305"/>
      <c r="T158" s="305"/>
      <c r="U158" s="305"/>
      <c r="V158" s="305"/>
      <c r="W158" s="305"/>
      <c r="X158" s="305"/>
      <c r="Y158" s="305"/>
      <c r="Z158" s="305"/>
      <c r="AA158" s="305"/>
      <c r="AB158" s="305"/>
      <c r="AC158" s="305"/>
      <c r="AD158" s="305"/>
      <c r="AE158" s="305"/>
    </row>
    <row r="159" spans="1:31">
      <c r="A159" s="305"/>
      <c r="B159" s="305"/>
      <c r="C159" s="305"/>
      <c r="D159" s="305"/>
      <c r="E159" s="305"/>
      <c r="F159" s="305"/>
      <c r="G159" s="305"/>
      <c r="H159" s="305"/>
      <c r="I159" s="305"/>
      <c r="J159" s="305"/>
      <c r="K159" s="305"/>
      <c r="L159" s="305"/>
      <c r="M159" s="305"/>
      <c r="N159" s="305"/>
      <c r="O159" s="305"/>
      <c r="P159" s="305"/>
      <c r="Q159" s="305"/>
      <c r="R159" s="305"/>
      <c r="S159" s="305"/>
      <c r="T159" s="305"/>
      <c r="U159" s="305"/>
      <c r="V159" s="305"/>
      <c r="W159" s="305"/>
      <c r="X159" s="305"/>
      <c r="Y159" s="305"/>
      <c r="Z159" s="305"/>
      <c r="AA159" s="305"/>
      <c r="AB159" s="305"/>
      <c r="AC159" s="305"/>
      <c r="AD159" s="305"/>
      <c r="AE159" s="305"/>
    </row>
    <row r="160" spans="1:31">
      <c r="A160" s="305"/>
      <c r="B160" s="305"/>
      <c r="C160" s="305"/>
      <c r="D160" s="305"/>
      <c r="E160" s="305"/>
      <c r="F160" s="305"/>
      <c r="G160" s="305"/>
      <c r="H160" s="305"/>
      <c r="I160" s="305"/>
      <c r="J160" s="305"/>
      <c r="K160" s="305"/>
      <c r="L160" s="305"/>
      <c r="M160" s="305"/>
      <c r="N160" s="305"/>
      <c r="O160" s="305"/>
      <c r="P160" s="305"/>
      <c r="Q160" s="305"/>
      <c r="R160" s="305"/>
      <c r="S160" s="305"/>
      <c r="T160" s="305"/>
      <c r="U160" s="305"/>
      <c r="V160" s="305"/>
      <c r="W160" s="305"/>
      <c r="X160" s="305"/>
      <c r="Y160" s="305"/>
      <c r="Z160" s="305"/>
      <c r="AA160" s="305"/>
      <c r="AB160" s="305"/>
      <c r="AC160" s="305"/>
      <c r="AD160" s="305"/>
      <c r="AE160" s="305"/>
    </row>
    <row r="161" spans="1:31">
      <c r="A161" s="305"/>
      <c r="B161" s="305"/>
      <c r="C161" s="305"/>
      <c r="D161" s="305"/>
      <c r="E161" s="305"/>
      <c r="F161" s="305"/>
      <c r="G161" s="305"/>
      <c r="H161" s="305"/>
      <c r="I161" s="305"/>
      <c r="J161" s="305"/>
      <c r="K161" s="305"/>
      <c r="L161" s="305"/>
      <c r="M161" s="305"/>
      <c r="N161" s="305"/>
      <c r="O161" s="305"/>
      <c r="P161" s="305"/>
      <c r="Q161" s="305"/>
      <c r="R161" s="305"/>
      <c r="S161" s="305"/>
      <c r="T161" s="305"/>
      <c r="U161" s="305"/>
      <c r="V161" s="305"/>
      <c r="W161" s="305"/>
      <c r="X161" s="305"/>
      <c r="Y161" s="305"/>
      <c r="Z161" s="305"/>
      <c r="AA161" s="305"/>
      <c r="AB161" s="305"/>
      <c r="AC161" s="305"/>
      <c r="AD161" s="305"/>
      <c r="AE161" s="305"/>
    </row>
    <row r="162" spans="1:31">
      <c r="A162" s="305"/>
      <c r="B162" s="305"/>
      <c r="C162" s="305"/>
      <c r="D162" s="305"/>
      <c r="E162" s="305"/>
      <c r="F162" s="305"/>
      <c r="G162" s="305"/>
      <c r="H162" s="305"/>
      <c r="I162" s="305"/>
      <c r="J162" s="305"/>
      <c r="K162" s="305"/>
      <c r="L162" s="305"/>
      <c r="M162" s="305"/>
      <c r="N162" s="305"/>
      <c r="O162" s="305"/>
      <c r="P162" s="305"/>
      <c r="Q162" s="305"/>
      <c r="R162" s="305"/>
      <c r="S162" s="305"/>
      <c r="T162" s="305"/>
      <c r="U162" s="305"/>
      <c r="V162" s="305"/>
      <c r="W162" s="305"/>
      <c r="X162" s="305"/>
      <c r="Y162" s="305"/>
      <c r="Z162" s="305"/>
      <c r="AA162" s="305"/>
      <c r="AB162" s="305"/>
      <c r="AC162" s="305"/>
      <c r="AD162" s="305"/>
      <c r="AE162" s="305"/>
    </row>
    <row r="163" spans="1:31">
      <c r="A163" s="305"/>
      <c r="B163" s="305"/>
      <c r="C163" s="305"/>
      <c r="D163" s="305"/>
      <c r="E163" s="305"/>
      <c r="F163" s="305"/>
      <c r="G163" s="305"/>
      <c r="H163" s="305"/>
      <c r="I163" s="305"/>
      <c r="J163" s="305"/>
      <c r="K163" s="305"/>
      <c r="L163" s="305"/>
      <c r="M163" s="305"/>
      <c r="N163" s="305"/>
      <c r="O163" s="305"/>
      <c r="P163" s="305"/>
      <c r="Q163" s="305"/>
      <c r="R163" s="305"/>
      <c r="S163" s="305"/>
      <c r="T163" s="305"/>
      <c r="U163" s="305"/>
      <c r="V163" s="305"/>
      <c r="W163" s="305"/>
      <c r="X163" s="305"/>
      <c r="Y163" s="305"/>
      <c r="Z163" s="305"/>
      <c r="AA163" s="305"/>
      <c r="AB163" s="305"/>
      <c r="AC163" s="305"/>
      <c r="AD163" s="305"/>
      <c r="AE163" s="305"/>
    </row>
    <row r="164" spans="1:31">
      <c r="A164" s="305"/>
      <c r="B164" s="305"/>
      <c r="C164" s="305"/>
      <c r="D164" s="305"/>
      <c r="E164" s="305"/>
      <c r="F164" s="305"/>
      <c r="G164" s="305"/>
      <c r="H164" s="305"/>
      <c r="I164" s="305"/>
      <c r="J164" s="305"/>
      <c r="K164" s="305"/>
      <c r="L164" s="305"/>
      <c r="M164" s="305"/>
      <c r="N164" s="305"/>
      <c r="O164" s="305"/>
      <c r="P164" s="305"/>
      <c r="Q164" s="305"/>
      <c r="R164" s="305"/>
      <c r="S164" s="305"/>
      <c r="T164" s="305"/>
      <c r="U164" s="305"/>
      <c r="V164" s="305"/>
      <c r="W164" s="305"/>
      <c r="X164" s="305"/>
      <c r="Y164" s="305"/>
      <c r="Z164" s="305"/>
      <c r="AA164" s="305"/>
      <c r="AB164" s="305"/>
      <c r="AC164" s="305"/>
      <c r="AD164" s="305"/>
      <c r="AE164" s="305"/>
    </row>
    <row r="165" spans="1:31">
      <c r="A165" s="305"/>
      <c r="B165" s="305"/>
      <c r="C165" s="305"/>
      <c r="D165" s="305"/>
      <c r="E165" s="305"/>
      <c r="F165" s="305"/>
      <c r="G165" s="305"/>
      <c r="H165" s="305"/>
      <c r="I165" s="305"/>
      <c r="J165" s="305"/>
      <c r="K165" s="305"/>
      <c r="L165" s="305"/>
      <c r="M165" s="305"/>
      <c r="N165" s="305"/>
      <c r="O165" s="305"/>
      <c r="P165" s="305"/>
      <c r="Q165" s="305"/>
      <c r="R165" s="305"/>
      <c r="S165" s="305"/>
      <c r="T165" s="305"/>
      <c r="U165" s="305"/>
      <c r="V165" s="305"/>
      <c r="W165" s="305"/>
      <c r="X165" s="305"/>
      <c r="Y165" s="305"/>
      <c r="Z165" s="305"/>
      <c r="AA165" s="305"/>
      <c r="AB165" s="305"/>
      <c r="AC165" s="305"/>
      <c r="AD165" s="305"/>
      <c r="AE165" s="305"/>
    </row>
    <row r="166" spans="1:31">
      <c r="A166" s="305"/>
      <c r="B166" s="305"/>
      <c r="C166" s="305"/>
      <c r="D166" s="305"/>
      <c r="E166" s="305"/>
      <c r="F166" s="305"/>
      <c r="G166" s="305"/>
      <c r="H166" s="305"/>
      <c r="I166" s="305"/>
      <c r="J166" s="305"/>
      <c r="K166" s="305"/>
      <c r="L166" s="305"/>
      <c r="M166" s="305"/>
      <c r="N166" s="305"/>
      <c r="O166" s="305"/>
      <c r="P166" s="305"/>
      <c r="Q166" s="305"/>
      <c r="R166" s="305"/>
      <c r="S166" s="305"/>
      <c r="T166" s="305"/>
      <c r="U166" s="305"/>
      <c r="V166" s="305"/>
      <c r="W166" s="305"/>
      <c r="X166" s="305"/>
      <c r="Y166" s="305"/>
      <c r="Z166" s="305"/>
      <c r="AA166" s="305"/>
      <c r="AB166" s="305"/>
      <c r="AC166" s="305"/>
      <c r="AD166" s="305"/>
      <c r="AE166" s="305"/>
    </row>
    <row r="167" spans="1:31">
      <c r="A167" s="305"/>
      <c r="B167" s="305"/>
      <c r="C167" s="305"/>
      <c r="D167" s="305"/>
      <c r="E167" s="305"/>
      <c r="F167" s="305"/>
      <c r="G167" s="305"/>
      <c r="H167" s="305"/>
      <c r="I167" s="305"/>
      <c r="J167" s="305"/>
      <c r="K167" s="305"/>
      <c r="L167" s="305"/>
      <c r="M167" s="305"/>
      <c r="N167" s="305"/>
      <c r="O167" s="305"/>
      <c r="P167" s="305"/>
      <c r="Q167" s="305"/>
      <c r="R167" s="305"/>
      <c r="S167" s="305"/>
      <c r="T167" s="305"/>
      <c r="U167" s="305"/>
      <c r="V167" s="305"/>
      <c r="W167" s="305"/>
      <c r="X167" s="305"/>
      <c r="Y167" s="305"/>
      <c r="Z167" s="305"/>
      <c r="AA167" s="305"/>
      <c r="AB167" s="305"/>
      <c r="AC167" s="305"/>
      <c r="AD167" s="305"/>
      <c r="AE167" s="305"/>
    </row>
    <row r="168" spans="1:31">
      <c r="A168" s="305"/>
      <c r="B168" s="305"/>
      <c r="C168" s="305"/>
      <c r="D168" s="305"/>
      <c r="E168" s="305"/>
      <c r="F168" s="305"/>
      <c r="G168" s="305"/>
      <c r="H168" s="305"/>
      <c r="I168" s="305"/>
      <c r="J168" s="305"/>
      <c r="K168" s="305"/>
      <c r="L168" s="305"/>
      <c r="M168" s="305"/>
      <c r="N168" s="305"/>
      <c r="O168" s="305"/>
      <c r="P168" s="305"/>
      <c r="Q168" s="305"/>
      <c r="R168" s="305"/>
      <c r="S168" s="305"/>
      <c r="T168" s="305"/>
      <c r="U168" s="305"/>
      <c r="V168" s="305"/>
      <c r="W168" s="305"/>
      <c r="X168" s="305"/>
      <c r="Y168" s="305"/>
      <c r="Z168" s="305"/>
      <c r="AA168" s="305"/>
      <c r="AB168" s="305"/>
      <c r="AC168" s="305"/>
      <c r="AD168" s="305"/>
      <c r="AE168" s="305"/>
    </row>
    <row r="169" spans="1:31">
      <c r="A169" s="305"/>
      <c r="B169" s="305"/>
      <c r="C169" s="305"/>
      <c r="D169" s="305"/>
      <c r="E169" s="305"/>
      <c r="F169" s="305"/>
      <c r="G169" s="305"/>
      <c r="H169" s="305"/>
      <c r="I169" s="305"/>
      <c r="J169" s="305"/>
      <c r="K169" s="305"/>
      <c r="L169" s="305"/>
      <c r="M169" s="305"/>
      <c r="N169" s="305"/>
      <c r="O169" s="305"/>
      <c r="P169" s="305"/>
      <c r="Q169" s="305"/>
      <c r="R169" s="305"/>
      <c r="S169" s="305"/>
      <c r="T169" s="305"/>
      <c r="U169" s="305"/>
      <c r="V169" s="305"/>
      <c r="W169" s="305"/>
      <c r="X169" s="305"/>
      <c r="Y169" s="305"/>
      <c r="Z169" s="305"/>
      <c r="AA169" s="305"/>
      <c r="AB169" s="305"/>
      <c r="AC169" s="305"/>
      <c r="AD169" s="305"/>
      <c r="AE169" s="305"/>
    </row>
    <row r="170" spans="1:31">
      <c r="A170" s="305"/>
      <c r="B170" s="305"/>
      <c r="C170" s="305"/>
      <c r="D170" s="305"/>
      <c r="E170" s="305"/>
      <c r="F170" s="305"/>
      <c r="G170" s="305"/>
      <c r="H170" s="305"/>
      <c r="I170" s="305"/>
      <c r="J170" s="305"/>
      <c r="K170" s="305"/>
      <c r="L170" s="305"/>
      <c r="M170" s="305"/>
      <c r="N170" s="305"/>
      <c r="O170" s="305"/>
      <c r="P170" s="305"/>
      <c r="Q170" s="305"/>
      <c r="R170" s="305"/>
      <c r="S170" s="305"/>
      <c r="T170" s="305"/>
      <c r="U170" s="305"/>
      <c r="V170" s="305"/>
      <c r="W170" s="305"/>
      <c r="X170" s="305"/>
      <c r="Y170" s="305"/>
      <c r="Z170" s="305"/>
      <c r="AA170" s="305"/>
      <c r="AB170" s="305"/>
      <c r="AC170" s="305"/>
      <c r="AD170" s="305"/>
      <c r="AE170" s="305"/>
    </row>
    <row r="171" spans="1:31">
      <c r="A171" s="305"/>
      <c r="B171" s="305"/>
      <c r="C171" s="305"/>
      <c r="D171" s="305"/>
      <c r="E171" s="305"/>
      <c r="F171" s="305"/>
      <c r="G171" s="305"/>
      <c r="H171" s="305"/>
      <c r="I171" s="305"/>
      <c r="J171" s="305"/>
      <c r="K171" s="305"/>
      <c r="L171" s="305"/>
      <c r="M171" s="305"/>
      <c r="N171" s="305"/>
      <c r="O171" s="305"/>
      <c r="P171" s="305"/>
      <c r="Q171" s="305"/>
      <c r="R171" s="305"/>
      <c r="S171" s="305"/>
      <c r="T171" s="305"/>
      <c r="U171" s="305"/>
      <c r="V171" s="305"/>
      <c r="W171" s="305"/>
      <c r="X171" s="305"/>
      <c r="Y171" s="305"/>
      <c r="Z171" s="305"/>
      <c r="AA171" s="305"/>
      <c r="AB171" s="305"/>
      <c r="AC171" s="305"/>
      <c r="AD171" s="305"/>
      <c r="AE171" s="305"/>
    </row>
    <row r="172" spans="1:31">
      <c r="A172" s="305"/>
      <c r="B172" s="305"/>
      <c r="C172" s="305"/>
      <c r="D172" s="305"/>
      <c r="E172" s="305"/>
      <c r="F172" s="305"/>
      <c r="G172" s="305"/>
      <c r="H172" s="305"/>
      <c r="I172" s="305"/>
      <c r="J172" s="305"/>
      <c r="K172" s="305"/>
      <c r="L172" s="305"/>
      <c r="M172" s="305"/>
      <c r="N172" s="305"/>
      <c r="O172" s="305"/>
      <c r="P172" s="305"/>
      <c r="Q172" s="305"/>
      <c r="R172" s="305"/>
      <c r="S172" s="305"/>
      <c r="T172" s="305"/>
      <c r="U172" s="305"/>
      <c r="V172" s="305"/>
      <c r="W172" s="305"/>
      <c r="X172" s="305"/>
      <c r="Y172" s="305"/>
      <c r="Z172" s="305"/>
      <c r="AA172" s="305"/>
      <c r="AB172" s="305"/>
      <c r="AC172" s="305"/>
      <c r="AD172" s="305"/>
      <c r="AE172" s="305"/>
    </row>
    <row r="173" spans="1:31">
      <c r="A173" s="305"/>
      <c r="B173" s="305"/>
      <c r="C173" s="305"/>
      <c r="D173" s="305"/>
      <c r="E173" s="305"/>
      <c r="F173" s="305"/>
      <c r="G173" s="305"/>
      <c r="H173" s="305"/>
      <c r="I173" s="305"/>
      <c r="J173" s="305"/>
      <c r="K173" s="305"/>
      <c r="L173" s="305"/>
      <c r="M173" s="305"/>
      <c r="N173" s="305"/>
      <c r="O173" s="305"/>
      <c r="P173" s="305"/>
      <c r="Q173" s="305"/>
      <c r="R173" s="305"/>
      <c r="S173" s="305"/>
      <c r="T173" s="305"/>
      <c r="U173" s="305"/>
      <c r="V173" s="305"/>
      <c r="W173" s="305"/>
      <c r="X173" s="305"/>
      <c r="Y173" s="305"/>
      <c r="Z173" s="305"/>
      <c r="AA173" s="305"/>
      <c r="AB173" s="305"/>
      <c r="AC173" s="305"/>
      <c r="AD173" s="305"/>
      <c r="AE173" s="305"/>
    </row>
    <row r="174" spans="1:31">
      <c r="A174" s="305"/>
      <c r="B174" s="305"/>
      <c r="C174" s="305"/>
      <c r="D174" s="305"/>
      <c r="E174" s="305"/>
      <c r="F174" s="305"/>
      <c r="G174" s="305"/>
      <c r="H174" s="305"/>
      <c r="I174" s="305"/>
      <c r="J174" s="305"/>
      <c r="K174" s="305"/>
      <c r="L174" s="305"/>
      <c r="M174" s="305"/>
      <c r="N174" s="305"/>
      <c r="O174" s="305"/>
      <c r="P174" s="305"/>
      <c r="Q174" s="305"/>
      <c r="R174" s="305"/>
      <c r="S174" s="305"/>
      <c r="T174" s="305"/>
      <c r="U174" s="305"/>
      <c r="V174" s="305"/>
      <c r="W174" s="305"/>
      <c r="X174" s="305"/>
      <c r="Y174" s="305"/>
      <c r="Z174" s="305"/>
      <c r="AA174" s="305"/>
      <c r="AB174" s="305"/>
      <c r="AC174" s="305"/>
      <c r="AD174" s="305"/>
      <c r="AE174" s="305"/>
    </row>
    <row r="175" spans="1:31">
      <c r="A175" s="305"/>
      <c r="B175" s="305"/>
      <c r="C175" s="305"/>
      <c r="D175" s="305"/>
      <c r="E175" s="305"/>
      <c r="F175" s="305"/>
      <c r="G175" s="305"/>
      <c r="H175" s="305"/>
      <c r="I175" s="305"/>
      <c r="J175" s="305"/>
      <c r="K175" s="305"/>
      <c r="L175" s="305"/>
      <c r="M175" s="305"/>
      <c r="N175" s="305"/>
      <c r="O175" s="305"/>
      <c r="P175" s="305"/>
      <c r="Q175" s="305"/>
      <c r="R175" s="305"/>
      <c r="S175" s="305"/>
      <c r="T175" s="305"/>
      <c r="U175" s="305"/>
      <c r="V175" s="305"/>
      <c r="W175" s="305"/>
      <c r="X175" s="305"/>
      <c r="Y175" s="305"/>
      <c r="Z175" s="305"/>
      <c r="AA175" s="305"/>
      <c r="AB175" s="305"/>
      <c r="AC175" s="305"/>
      <c r="AD175" s="305"/>
      <c r="AE175" s="305"/>
    </row>
    <row r="176" spans="1:31">
      <c r="A176" s="305"/>
      <c r="B176" s="305"/>
      <c r="C176" s="305"/>
      <c r="D176" s="305"/>
      <c r="E176" s="305"/>
      <c r="F176" s="305"/>
      <c r="G176" s="305"/>
      <c r="H176" s="305"/>
      <c r="I176" s="305"/>
      <c r="J176" s="305"/>
      <c r="K176" s="305"/>
      <c r="L176" s="305"/>
      <c r="M176" s="305"/>
      <c r="N176" s="305"/>
      <c r="O176" s="305"/>
      <c r="P176" s="305"/>
      <c r="Q176" s="305"/>
      <c r="R176" s="305"/>
      <c r="S176" s="305"/>
      <c r="T176" s="305"/>
      <c r="U176" s="305"/>
      <c r="V176" s="305"/>
      <c r="W176" s="305"/>
      <c r="X176" s="305"/>
      <c r="Y176" s="305"/>
      <c r="Z176" s="305"/>
      <c r="AA176" s="305"/>
      <c r="AB176" s="305"/>
      <c r="AC176" s="305"/>
      <c r="AD176" s="305"/>
      <c r="AE176" s="305"/>
    </row>
    <row r="177" spans="1:31">
      <c r="A177" s="305"/>
      <c r="B177" s="305"/>
      <c r="C177" s="305"/>
      <c r="D177" s="305"/>
      <c r="E177" s="305"/>
      <c r="F177" s="305"/>
      <c r="G177" s="305"/>
      <c r="H177" s="305"/>
      <c r="I177" s="305"/>
      <c r="J177" s="305"/>
      <c r="K177" s="305"/>
      <c r="L177" s="305"/>
      <c r="M177" s="305"/>
      <c r="N177" s="305"/>
      <c r="O177" s="305"/>
      <c r="P177" s="305"/>
      <c r="Q177" s="305"/>
      <c r="R177" s="305"/>
      <c r="S177" s="305"/>
      <c r="T177" s="305"/>
      <c r="U177" s="305"/>
      <c r="V177" s="305"/>
      <c r="W177" s="305"/>
      <c r="X177" s="305"/>
      <c r="Y177" s="305"/>
      <c r="Z177" s="305"/>
      <c r="AA177" s="305"/>
      <c r="AB177" s="305"/>
      <c r="AC177" s="305"/>
      <c r="AD177" s="305"/>
      <c r="AE177" s="305"/>
    </row>
    <row r="178" spans="1:31">
      <c r="A178" s="305"/>
      <c r="B178" s="305"/>
      <c r="C178" s="305"/>
      <c r="D178" s="305"/>
      <c r="E178" s="305"/>
      <c r="F178" s="305"/>
      <c r="G178" s="305"/>
      <c r="H178" s="305"/>
      <c r="I178" s="305"/>
      <c r="J178" s="305"/>
      <c r="K178" s="305"/>
      <c r="L178" s="305"/>
      <c r="M178" s="305"/>
      <c r="N178" s="305"/>
      <c r="O178" s="305"/>
      <c r="P178" s="305"/>
      <c r="Q178" s="305"/>
      <c r="R178" s="305"/>
      <c r="S178" s="305"/>
      <c r="T178" s="305"/>
      <c r="U178" s="305"/>
      <c r="V178" s="305"/>
      <c r="W178" s="305"/>
      <c r="X178" s="305"/>
      <c r="Y178" s="305"/>
      <c r="Z178" s="305"/>
      <c r="AA178" s="305"/>
      <c r="AB178" s="305"/>
      <c r="AC178" s="305"/>
      <c r="AD178" s="305"/>
      <c r="AE178" s="305"/>
    </row>
    <row r="179" spans="1:31">
      <c r="A179" s="305"/>
      <c r="B179" s="305"/>
      <c r="C179" s="305"/>
      <c r="D179" s="305"/>
      <c r="E179" s="305"/>
      <c r="F179" s="305"/>
      <c r="G179" s="305"/>
      <c r="H179" s="305"/>
      <c r="I179" s="305"/>
      <c r="J179" s="305"/>
      <c r="K179" s="305"/>
      <c r="L179" s="305"/>
      <c r="M179" s="305"/>
      <c r="N179" s="305"/>
      <c r="O179" s="305"/>
      <c r="P179" s="305"/>
      <c r="Q179" s="305"/>
      <c r="R179" s="305"/>
      <c r="S179" s="305"/>
      <c r="T179" s="305"/>
      <c r="U179" s="305"/>
      <c r="V179" s="305"/>
      <c r="W179" s="305"/>
      <c r="X179" s="305"/>
      <c r="Y179" s="305"/>
      <c r="Z179" s="305"/>
      <c r="AA179" s="305"/>
      <c r="AB179" s="305"/>
      <c r="AC179" s="305"/>
      <c r="AD179" s="305"/>
      <c r="AE179" s="305"/>
    </row>
    <row r="180" spans="1:31">
      <c r="A180" s="305"/>
      <c r="B180" s="305"/>
      <c r="C180" s="305"/>
      <c r="D180" s="305"/>
      <c r="E180" s="305"/>
      <c r="F180" s="305"/>
      <c r="G180" s="305"/>
      <c r="H180" s="305"/>
      <c r="I180" s="305"/>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row>
    <row r="181" spans="1:31">
      <c r="A181" s="305"/>
      <c r="B181" s="305"/>
      <c r="C181" s="305"/>
      <c r="D181" s="305"/>
      <c r="E181" s="305"/>
      <c r="F181" s="305"/>
      <c r="G181" s="305"/>
      <c r="H181" s="305"/>
      <c r="I181" s="305"/>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row>
    <row r="182" spans="1:31">
      <c r="A182" s="305"/>
      <c r="B182" s="305"/>
      <c r="C182" s="305"/>
      <c r="D182" s="305"/>
      <c r="E182" s="305"/>
      <c r="F182" s="305"/>
      <c r="G182" s="305"/>
      <c r="H182" s="305"/>
      <c r="I182" s="305"/>
      <c r="J182" s="305"/>
      <c r="K182" s="305"/>
      <c r="L182" s="305"/>
      <c r="M182" s="305"/>
      <c r="N182" s="305"/>
      <c r="O182" s="305"/>
      <c r="P182" s="305"/>
      <c r="Q182" s="305"/>
      <c r="R182" s="305"/>
      <c r="S182" s="305"/>
      <c r="T182" s="305"/>
      <c r="U182" s="305"/>
      <c r="V182" s="305"/>
      <c r="W182" s="305"/>
      <c r="X182" s="305"/>
      <c r="Y182" s="305"/>
      <c r="Z182" s="305"/>
      <c r="AA182" s="305"/>
      <c r="AB182" s="305"/>
      <c r="AC182" s="305"/>
      <c r="AD182" s="305"/>
      <c r="AE182" s="305"/>
    </row>
    <row r="183" spans="1:31">
      <c r="A183" s="305"/>
      <c r="B183" s="305"/>
      <c r="C183" s="305"/>
      <c r="D183" s="305"/>
      <c r="E183" s="305"/>
      <c r="F183" s="305"/>
      <c r="G183" s="305"/>
      <c r="H183" s="305"/>
      <c r="I183" s="305"/>
      <c r="J183" s="305"/>
      <c r="K183" s="305"/>
      <c r="L183" s="305"/>
      <c r="M183" s="305"/>
      <c r="N183" s="305"/>
      <c r="O183" s="305"/>
      <c r="P183" s="305"/>
      <c r="Q183" s="305"/>
      <c r="R183" s="305"/>
      <c r="S183" s="305"/>
      <c r="T183" s="305"/>
      <c r="U183" s="305"/>
      <c r="V183" s="305"/>
      <c r="W183" s="305"/>
      <c r="X183" s="305"/>
      <c r="Y183" s="305"/>
      <c r="Z183" s="305"/>
      <c r="AA183" s="305"/>
      <c r="AB183" s="305"/>
      <c r="AC183" s="305"/>
      <c r="AD183" s="305"/>
      <c r="AE183" s="305"/>
    </row>
    <row r="184" spans="1:31">
      <c r="A184" s="305"/>
      <c r="B184" s="305"/>
      <c r="C184" s="305"/>
      <c r="D184" s="305"/>
      <c r="E184" s="305"/>
      <c r="F184" s="305"/>
      <c r="G184" s="305"/>
      <c r="H184" s="305"/>
      <c r="I184" s="305"/>
      <c r="J184" s="305"/>
      <c r="K184" s="305"/>
      <c r="L184" s="305"/>
      <c r="M184" s="305"/>
      <c r="N184" s="305"/>
      <c r="O184" s="305"/>
      <c r="P184" s="305"/>
      <c r="Q184" s="305"/>
      <c r="R184" s="305"/>
      <c r="S184" s="305"/>
      <c r="T184" s="305"/>
      <c r="U184" s="305"/>
      <c r="V184" s="305"/>
      <c r="W184" s="305"/>
      <c r="X184" s="305"/>
      <c r="Y184" s="305"/>
      <c r="Z184" s="305"/>
      <c r="AA184" s="305"/>
      <c r="AB184" s="305"/>
      <c r="AC184" s="305"/>
      <c r="AD184" s="305"/>
      <c r="AE184" s="305"/>
    </row>
    <row r="185" spans="1:31">
      <c r="A185" s="305"/>
      <c r="B185" s="305"/>
      <c r="C185" s="305"/>
      <c r="D185" s="305"/>
      <c r="E185" s="305"/>
      <c r="F185" s="305"/>
      <c r="G185" s="305"/>
      <c r="H185" s="305"/>
      <c r="I185" s="305"/>
      <c r="J185" s="305"/>
      <c r="K185" s="305"/>
      <c r="L185" s="305"/>
      <c r="M185" s="305"/>
      <c r="N185" s="305"/>
      <c r="O185" s="305"/>
      <c r="P185" s="305"/>
      <c r="Q185" s="305"/>
      <c r="R185" s="305"/>
      <c r="S185" s="305"/>
      <c r="T185" s="305"/>
      <c r="U185" s="305"/>
      <c r="V185" s="305"/>
      <c r="W185" s="305"/>
      <c r="X185" s="305"/>
      <c r="Y185" s="305"/>
      <c r="Z185" s="305"/>
      <c r="AA185" s="305"/>
      <c r="AB185" s="305"/>
      <c r="AC185" s="305"/>
      <c r="AD185" s="305"/>
      <c r="AE185" s="305"/>
    </row>
    <row r="186" spans="1:31">
      <c r="A186" s="305"/>
      <c r="B186" s="305"/>
      <c r="C186" s="305"/>
      <c r="D186" s="305"/>
      <c r="E186" s="305"/>
      <c r="F186" s="305"/>
      <c r="G186" s="305"/>
      <c r="H186" s="305"/>
      <c r="I186" s="305"/>
      <c r="J186" s="305"/>
      <c r="K186" s="305"/>
      <c r="L186" s="305"/>
      <c r="M186" s="305"/>
      <c r="N186" s="305"/>
      <c r="O186" s="305"/>
      <c r="P186" s="305"/>
      <c r="Q186" s="305"/>
      <c r="R186" s="305"/>
      <c r="S186" s="305"/>
      <c r="T186" s="305"/>
      <c r="U186" s="305"/>
      <c r="V186" s="305"/>
      <c r="W186" s="305"/>
      <c r="X186" s="305"/>
      <c r="Y186" s="305"/>
      <c r="Z186" s="305"/>
      <c r="AA186" s="305"/>
      <c r="AB186" s="305"/>
      <c r="AC186" s="305"/>
      <c r="AD186" s="305"/>
      <c r="AE186" s="305"/>
    </row>
    <row r="187" spans="1:31">
      <c r="A187" s="305"/>
      <c r="B187" s="305"/>
      <c r="C187" s="305"/>
      <c r="D187" s="305"/>
      <c r="E187" s="305"/>
      <c r="F187" s="305"/>
      <c r="G187" s="305"/>
      <c r="H187" s="305"/>
      <c r="I187" s="305"/>
      <c r="J187" s="305"/>
      <c r="K187" s="305"/>
      <c r="L187" s="305"/>
      <c r="M187" s="305"/>
      <c r="N187" s="305"/>
      <c r="O187" s="305"/>
      <c r="P187" s="305"/>
      <c r="Q187" s="305"/>
      <c r="R187" s="305"/>
      <c r="S187" s="305"/>
      <c r="T187" s="305"/>
      <c r="U187" s="305"/>
      <c r="V187" s="305"/>
      <c r="W187" s="305"/>
      <c r="X187" s="305"/>
      <c r="Y187" s="305"/>
      <c r="Z187" s="305"/>
      <c r="AA187" s="305"/>
      <c r="AB187" s="305"/>
      <c r="AC187" s="305"/>
      <c r="AD187" s="305"/>
      <c r="AE187" s="305"/>
    </row>
    <row r="188" spans="1:31">
      <c r="A188" s="305"/>
      <c r="B188" s="305"/>
      <c r="C188" s="305"/>
      <c r="D188" s="305"/>
      <c r="E188" s="305"/>
      <c r="F188" s="305"/>
      <c r="G188" s="305"/>
      <c r="H188" s="305"/>
      <c r="I188" s="305"/>
      <c r="J188" s="305"/>
      <c r="K188" s="305"/>
      <c r="L188" s="305"/>
      <c r="M188" s="305"/>
      <c r="N188" s="305"/>
      <c r="O188" s="305"/>
      <c r="P188" s="305"/>
      <c r="Q188" s="305"/>
      <c r="R188" s="305"/>
      <c r="S188" s="305"/>
      <c r="T188" s="305"/>
      <c r="U188" s="305"/>
      <c r="V188" s="305"/>
      <c r="W188" s="305"/>
      <c r="X188" s="305"/>
      <c r="Y188" s="305"/>
      <c r="Z188" s="305"/>
      <c r="AA188" s="305"/>
      <c r="AB188" s="305"/>
      <c r="AC188" s="305"/>
      <c r="AD188" s="305"/>
      <c r="AE188" s="305"/>
    </row>
    <row r="189" spans="1:31">
      <c r="A189" s="305"/>
      <c r="B189" s="305"/>
      <c r="C189" s="305"/>
      <c r="D189" s="305"/>
      <c r="E189" s="305"/>
      <c r="F189" s="305"/>
      <c r="G189" s="305"/>
      <c r="H189" s="305"/>
      <c r="I189" s="305"/>
      <c r="J189" s="305"/>
      <c r="K189" s="305"/>
      <c r="L189" s="305"/>
      <c r="M189" s="305"/>
      <c r="N189" s="305"/>
      <c r="O189" s="305"/>
      <c r="P189" s="305"/>
      <c r="Q189" s="305"/>
      <c r="R189" s="305"/>
      <c r="S189" s="305"/>
      <c r="T189" s="305"/>
      <c r="U189" s="305"/>
      <c r="V189" s="305"/>
      <c r="W189" s="305"/>
      <c r="X189" s="305"/>
      <c r="Y189" s="305"/>
      <c r="Z189" s="305"/>
      <c r="AA189" s="305"/>
      <c r="AB189" s="305"/>
      <c r="AC189" s="305"/>
      <c r="AD189" s="305"/>
      <c r="AE189" s="305"/>
    </row>
    <row r="190" spans="1:31">
      <c r="A190" s="305"/>
      <c r="B190" s="305"/>
      <c r="C190" s="305"/>
      <c r="D190" s="305"/>
      <c r="E190" s="305"/>
      <c r="F190" s="305"/>
      <c r="G190" s="305"/>
      <c r="H190" s="305"/>
      <c r="I190" s="305"/>
      <c r="J190" s="305"/>
      <c r="K190" s="305"/>
      <c r="L190" s="305"/>
      <c r="M190" s="305"/>
      <c r="N190" s="305"/>
      <c r="O190" s="305"/>
      <c r="P190" s="305"/>
      <c r="Q190" s="305"/>
      <c r="R190" s="305"/>
      <c r="S190" s="305"/>
      <c r="T190" s="305"/>
      <c r="U190" s="305"/>
      <c r="V190" s="305"/>
      <c r="W190" s="305"/>
      <c r="X190" s="305"/>
      <c r="Y190" s="305"/>
      <c r="Z190" s="305"/>
      <c r="AA190" s="305"/>
      <c r="AB190" s="305"/>
      <c r="AC190" s="305"/>
      <c r="AD190" s="305"/>
      <c r="AE190" s="305"/>
    </row>
    <row r="191" spans="1:31">
      <c r="A191" s="305"/>
      <c r="B191" s="305"/>
      <c r="C191" s="305"/>
      <c r="D191" s="305"/>
      <c r="E191" s="305"/>
      <c r="F191" s="305"/>
      <c r="G191" s="305"/>
      <c r="H191" s="305"/>
      <c r="I191" s="305"/>
      <c r="J191" s="305"/>
      <c r="K191" s="305"/>
      <c r="L191" s="305"/>
      <c r="M191" s="305"/>
      <c r="N191" s="305"/>
      <c r="O191" s="305"/>
      <c r="P191" s="305"/>
      <c r="Q191" s="305"/>
      <c r="R191" s="305"/>
      <c r="S191" s="305"/>
      <c r="T191" s="305"/>
      <c r="U191" s="305"/>
      <c r="V191" s="305"/>
      <c r="W191" s="305"/>
      <c r="X191" s="305"/>
      <c r="Y191" s="305"/>
      <c r="Z191" s="305"/>
      <c r="AA191" s="305"/>
      <c r="AB191" s="305"/>
      <c r="AC191" s="305"/>
      <c r="AD191" s="305"/>
      <c r="AE191" s="305"/>
    </row>
    <row r="192" spans="1:31">
      <c r="A192" s="305"/>
      <c r="B192" s="305"/>
      <c r="C192" s="305"/>
      <c r="D192" s="305"/>
      <c r="E192" s="305"/>
      <c r="F192" s="305"/>
      <c r="G192" s="305"/>
      <c r="H192" s="305"/>
      <c r="I192" s="305"/>
      <c r="J192" s="305"/>
      <c r="K192" s="305"/>
      <c r="L192" s="305"/>
      <c r="M192" s="305"/>
      <c r="N192" s="305"/>
      <c r="O192" s="305"/>
      <c r="P192" s="305"/>
      <c r="Q192" s="305"/>
      <c r="R192" s="305"/>
      <c r="S192" s="305"/>
      <c r="T192" s="305"/>
      <c r="U192" s="305"/>
      <c r="V192" s="305"/>
      <c r="W192" s="305"/>
      <c r="X192" s="305"/>
      <c r="Y192" s="305"/>
      <c r="Z192" s="305"/>
      <c r="AA192" s="305"/>
      <c r="AB192" s="305"/>
      <c r="AC192" s="305"/>
      <c r="AD192" s="305"/>
      <c r="AE192" s="305"/>
    </row>
    <row r="193" spans="1:31">
      <c r="A193" s="305"/>
      <c r="B193" s="305"/>
      <c r="C193" s="305"/>
      <c r="D193" s="305"/>
      <c r="E193" s="305"/>
      <c r="F193" s="305"/>
      <c r="G193" s="305"/>
      <c r="H193" s="305"/>
      <c r="I193" s="305"/>
      <c r="J193" s="305"/>
      <c r="K193" s="305"/>
      <c r="L193" s="305"/>
      <c r="M193" s="305"/>
      <c r="N193" s="305"/>
      <c r="O193" s="305"/>
      <c r="P193" s="305"/>
      <c r="Q193" s="305"/>
      <c r="R193" s="305"/>
      <c r="S193" s="305"/>
      <c r="T193" s="305"/>
      <c r="U193" s="305"/>
      <c r="V193" s="305"/>
      <c r="W193" s="305"/>
      <c r="X193" s="305"/>
      <c r="Y193" s="305"/>
      <c r="Z193" s="305"/>
      <c r="AA193" s="305"/>
      <c r="AB193" s="305"/>
      <c r="AC193" s="305"/>
      <c r="AD193" s="305"/>
      <c r="AE193" s="305"/>
    </row>
    <row r="194" spans="1:31">
      <c r="A194" s="305"/>
      <c r="B194" s="305"/>
      <c r="C194" s="305"/>
      <c r="D194" s="305"/>
      <c r="E194" s="305"/>
      <c r="F194" s="305"/>
      <c r="G194" s="305"/>
      <c r="H194" s="305"/>
      <c r="I194" s="305"/>
      <c r="J194" s="305"/>
      <c r="K194" s="305"/>
      <c r="L194" s="305"/>
      <c r="M194" s="305"/>
      <c r="N194" s="305"/>
      <c r="O194" s="305"/>
      <c r="P194" s="305"/>
      <c r="Q194" s="305"/>
      <c r="R194" s="305"/>
      <c r="S194" s="305"/>
      <c r="T194" s="305"/>
      <c r="U194" s="305"/>
      <c r="V194" s="305"/>
      <c r="W194" s="305"/>
      <c r="X194" s="305"/>
      <c r="Y194" s="305"/>
      <c r="Z194" s="305"/>
      <c r="AA194" s="305"/>
      <c r="AB194" s="305"/>
      <c r="AC194" s="305"/>
      <c r="AD194" s="305"/>
      <c r="AE194" s="305"/>
    </row>
    <row r="195" spans="1:31">
      <c r="A195" s="305"/>
      <c r="B195" s="305"/>
      <c r="C195" s="305"/>
      <c r="D195" s="305"/>
      <c r="E195" s="305"/>
      <c r="F195" s="305"/>
      <c r="G195" s="305"/>
      <c r="H195" s="305"/>
      <c r="I195" s="305"/>
      <c r="J195" s="305"/>
      <c r="K195" s="305"/>
      <c r="L195" s="305"/>
      <c r="M195" s="305"/>
      <c r="N195" s="305"/>
      <c r="O195" s="305"/>
      <c r="P195" s="305"/>
      <c r="Q195" s="305"/>
      <c r="R195" s="305"/>
      <c r="S195" s="305"/>
      <c r="T195" s="305"/>
      <c r="U195" s="305"/>
      <c r="V195" s="305"/>
      <c r="W195" s="305"/>
      <c r="X195" s="305"/>
      <c r="Y195" s="305"/>
      <c r="Z195" s="305"/>
      <c r="AA195" s="305"/>
      <c r="AB195" s="305"/>
      <c r="AC195" s="305"/>
      <c r="AD195" s="305"/>
      <c r="AE195" s="305"/>
    </row>
    <row r="196" spans="1:31">
      <c r="A196" s="305"/>
      <c r="B196" s="305"/>
      <c r="C196" s="305"/>
      <c r="D196" s="305"/>
      <c r="E196" s="305"/>
      <c r="F196" s="305"/>
      <c r="G196" s="305"/>
      <c r="H196" s="305"/>
      <c r="I196" s="305"/>
      <c r="J196" s="305"/>
      <c r="K196" s="305"/>
      <c r="L196" s="305"/>
      <c r="M196" s="305"/>
      <c r="N196" s="305"/>
      <c r="O196" s="305"/>
      <c r="P196" s="305"/>
      <c r="Q196" s="305"/>
      <c r="R196" s="305"/>
      <c r="S196" s="305"/>
      <c r="T196" s="305"/>
      <c r="U196" s="305"/>
      <c r="V196" s="305"/>
      <c r="W196" s="305"/>
      <c r="X196" s="305"/>
      <c r="Y196" s="305"/>
      <c r="Z196" s="305"/>
      <c r="AA196" s="305"/>
      <c r="AB196" s="305"/>
      <c r="AC196" s="305"/>
      <c r="AD196" s="305"/>
      <c r="AE196" s="305"/>
    </row>
    <row r="197" spans="1:31">
      <c r="A197" s="305"/>
      <c r="B197" s="305"/>
      <c r="C197" s="305"/>
      <c r="D197" s="305"/>
      <c r="E197" s="305"/>
      <c r="F197" s="305"/>
      <c r="G197" s="305"/>
      <c r="H197" s="305"/>
      <c r="I197" s="305"/>
      <c r="J197" s="305"/>
      <c r="K197" s="305"/>
      <c r="L197" s="305"/>
      <c r="M197" s="305"/>
      <c r="N197" s="305"/>
      <c r="O197" s="305"/>
      <c r="P197" s="305"/>
      <c r="Q197" s="305"/>
      <c r="R197" s="305"/>
      <c r="S197" s="305"/>
      <c r="T197" s="305"/>
      <c r="U197" s="305"/>
      <c r="V197" s="305"/>
      <c r="W197" s="305"/>
      <c r="X197" s="305"/>
      <c r="Y197" s="305"/>
      <c r="Z197" s="305"/>
      <c r="AA197" s="305"/>
      <c r="AB197" s="305"/>
      <c r="AC197" s="305"/>
      <c r="AD197" s="305"/>
      <c r="AE197" s="305"/>
    </row>
    <row r="198" spans="1:31">
      <c r="A198" s="305"/>
      <c r="B198" s="305"/>
      <c r="C198" s="305"/>
      <c r="D198" s="305"/>
      <c r="E198" s="305"/>
      <c r="F198" s="305"/>
      <c r="G198" s="305"/>
      <c r="H198" s="305"/>
      <c r="I198" s="305"/>
      <c r="J198" s="305"/>
      <c r="K198" s="305"/>
      <c r="L198" s="305"/>
      <c r="M198" s="305"/>
      <c r="N198" s="305"/>
      <c r="O198" s="305"/>
      <c r="P198" s="305"/>
      <c r="Q198" s="305"/>
      <c r="R198" s="305"/>
      <c r="S198" s="305"/>
      <c r="T198" s="305"/>
      <c r="U198" s="305"/>
      <c r="V198" s="305"/>
      <c r="W198" s="305"/>
      <c r="X198" s="305"/>
      <c r="Y198" s="305"/>
      <c r="Z198" s="305"/>
      <c r="AA198" s="305"/>
      <c r="AB198" s="305"/>
      <c r="AC198" s="305"/>
      <c r="AD198" s="305"/>
      <c r="AE198" s="305"/>
    </row>
    <row r="199" spans="1:31">
      <c r="A199" s="305"/>
      <c r="B199" s="305"/>
      <c r="C199" s="305"/>
      <c r="D199" s="305"/>
      <c r="E199" s="305"/>
      <c r="F199" s="305"/>
      <c r="G199" s="305"/>
      <c r="H199" s="305"/>
      <c r="I199" s="305"/>
      <c r="J199" s="305"/>
      <c r="K199" s="305"/>
      <c r="L199" s="305"/>
      <c r="M199" s="305"/>
      <c r="N199" s="305"/>
      <c r="O199" s="305"/>
      <c r="P199" s="305"/>
      <c r="Q199" s="305"/>
      <c r="R199" s="305"/>
      <c r="S199" s="305"/>
      <c r="T199" s="305"/>
      <c r="U199" s="305"/>
      <c r="V199" s="305"/>
      <c r="W199" s="305"/>
      <c r="X199" s="305"/>
      <c r="Y199" s="305"/>
      <c r="Z199" s="305"/>
      <c r="AA199" s="305"/>
      <c r="AB199" s="305"/>
      <c r="AC199" s="305"/>
      <c r="AD199" s="305"/>
      <c r="AE199" s="305"/>
    </row>
    <row r="200" spans="1:31">
      <c r="A200" s="305"/>
      <c r="B200" s="305"/>
      <c r="C200" s="305"/>
      <c r="D200" s="305"/>
      <c r="E200" s="305"/>
      <c r="F200" s="305"/>
      <c r="G200" s="305"/>
      <c r="H200" s="305"/>
      <c r="I200" s="305"/>
      <c r="J200" s="305"/>
      <c r="K200" s="305"/>
      <c r="L200" s="305"/>
      <c r="M200" s="305"/>
      <c r="N200" s="305"/>
      <c r="O200" s="305"/>
      <c r="P200" s="305"/>
      <c r="Q200" s="305"/>
      <c r="R200" s="305"/>
      <c r="S200" s="305"/>
      <c r="T200" s="305"/>
      <c r="U200" s="305"/>
      <c r="V200" s="305"/>
      <c r="W200" s="305"/>
      <c r="X200" s="305"/>
      <c r="Y200" s="305"/>
      <c r="Z200" s="305"/>
      <c r="AA200" s="305"/>
      <c r="AB200" s="305"/>
      <c r="AC200" s="305"/>
      <c r="AD200" s="305"/>
      <c r="AE200" s="305"/>
    </row>
    <row r="201" spans="1:31">
      <c r="A201" s="305"/>
      <c r="B201" s="305"/>
      <c r="C201" s="305"/>
      <c r="D201" s="305"/>
      <c r="E201" s="305"/>
      <c r="F201" s="305"/>
      <c r="G201" s="305"/>
      <c r="H201" s="305"/>
      <c r="I201" s="305"/>
      <c r="J201" s="305"/>
      <c r="K201" s="305"/>
      <c r="L201" s="305"/>
      <c r="M201" s="305"/>
      <c r="N201" s="305"/>
      <c r="O201" s="305"/>
      <c r="P201" s="305"/>
      <c r="Q201" s="305"/>
      <c r="R201" s="305"/>
      <c r="S201" s="305"/>
      <c r="T201" s="305"/>
      <c r="U201" s="305"/>
      <c r="V201" s="305"/>
      <c r="W201" s="305"/>
      <c r="X201" s="305"/>
      <c r="Y201" s="305"/>
      <c r="Z201" s="305"/>
      <c r="AA201" s="305"/>
      <c r="AB201" s="305"/>
      <c r="AC201" s="305"/>
      <c r="AD201" s="305"/>
      <c r="AE201" s="305"/>
    </row>
    <row r="202" spans="1:31">
      <c r="A202" s="305"/>
      <c r="B202" s="305"/>
      <c r="C202" s="305"/>
      <c r="D202" s="305"/>
      <c r="E202" s="305"/>
      <c r="F202" s="305"/>
      <c r="G202" s="305"/>
      <c r="H202" s="305"/>
      <c r="I202" s="305"/>
      <c r="J202" s="305"/>
      <c r="K202" s="305"/>
      <c r="L202" s="305"/>
      <c r="M202" s="305"/>
      <c r="N202" s="305"/>
      <c r="O202" s="305"/>
      <c r="P202" s="305"/>
      <c r="Q202" s="305"/>
      <c r="R202" s="305"/>
      <c r="S202" s="305"/>
      <c r="T202" s="305"/>
      <c r="U202" s="305"/>
      <c r="V202" s="305"/>
      <c r="W202" s="305"/>
      <c r="X202" s="305"/>
      <c r="Y202" s="305"/>
      <c r="Z202" s="305"/>
      <c r="AA202" s="305"/>
      <c r="AB202" s="305"/>
      <c r="AC202" s="305"/>
      <c r="AD202" s="305"/>
      <c r="AE202" s="305"/>
    </row>
    <row r="203" spans="1:31">
      <c r="A203" s="305"/>
      <c r="B203" s="305"/>
      <c r="C203" s="305"/>
      <c r="D203" s="305"/>
      <c r="E203" s="305"/>
      <c r="F203" s="305"/>
      <c r="G203" s="305"/>
      <c r="H203" s="305"/>
      <c r="I203" s="305"/>
      <c r="J203" s="305"/>
      <c r="K203" s="305"/>
      <c r="L203" s="305"/>
      <c r="M203" s="305"/>
      <c r="N203" s="305"/>
      <c r="O203" s="305"/>
      <c r="P203" s="305"/>
      <c r="Q203" s="305"/>
      <c r="R203" s="305"/>
      <c r="S203" s="305"/>
      <c r="T203" s="305"/>
      <c r="U203" s="305"/>
      <c r="V203" s="305"/>
      <c r="W203" s="305"/>
      <c r="X203" s="305"/>
      <c r="Y203" s="305"/>
      <c r="Z203" s="305"/>
      <c r="AA203" s="305"/>
      <c r="AB203" s="305"/>
      <c r="AC203" s="305"/>
      <c r="AD203" s="305"/>
      <c r="AE203" s="305"/>
    </row>
    <row r="204" spans="1:31">
      <c r="A204" s="305"/>
      <c r="B204" s="305"/>
      <c r="C204" s="305"/>
      <c r="D204" s="305"/>
      <c r="E204" s="305"/>
      <c r="F204" s="305"/>
      <c r="G204" s="305"/>
      <c r="H204" s="305"/>
      <c r="I204" s="305"/>
      <c r="J204" s="305"/>
      <c r="K204" s="305"/>
      <c r="L204" s="305"/>
      <c r="M204" s="305"/>
      <c r="N204" s="305"/>
      <c r="O204" s="305"/>
      <c r="P204" s="305"/>
      <c r="Q204" s="305"/>
      <c r="R204" s="305"/>
      <c r="S204" s="305"/>
      <c r="T204" s="305"/>
      <c r="U204" s="305"/>
      <c r="V204" s="305"/>
      <c r="W204" s="305"/>
      <c r="X204" s="305"/>
      <c r="Y204" s="305"/>
      <c r="Z204" s="305"/>
      <c r="AA204" s="305"/>
      <c r="AB204" s="305"/>
      <c r="AC204" s="305"/>
      <c r="AD204" s="305"/>
      <c r="AE204" s="305"/>
    </row>
    <row r="205" spans="1:31">
      <c r="A205" s="305"/>
      <c r="B205" s="305"/>
      <c r="C205" s="305"/>
      <c r="D205" s="305"/>
      <c r="E205" s="305"/>
      <c r="F205" s="305"/>
      <c r="G205" s="305"/>
      <c r="H205" s="305"/>
      <c r="I205" s="305"/>
      <c r="J205" s="305"/>
      <c r="K205" s="305"/>
      <c r="L205" s="305"/>
      <c r="M205" s="305"/>
      <c r="N205" s="305"/>
      <c r="O205" s="305"/>
      <c r="P205" s="305"/>
      <c r="Q205" s="305"/>
      <c r="R205" s="305"/>
      <c r="S205" s="305"/>
      <c r="T205" s="305"/>
      <c r="U205" s="305"/>
      <c r="V205" s="305"/>
      <c r="W205" s="305"/>
      <c r="X205" s="305"/>
      <c r="Y205" s="305"/>
      <c r="Z205" s="305"/>
      <c r="AA205" s="305"/>
      <c r="AB205" s="305"/>
      <c r="AC205" s="305"/>
      <c r="AD205" s="305"/>
      <c r="AE205" s="305"/>
    </row>
    <row r="206" spans="1:31">
      <c r="A206" s="305"/>
      <c r="B206" s="305"/>
      <c r="C206" s="305"/>
      <c r="D206" s="305"/>
      <c r="E206" s="305"/>
      <c r="F206" s="305"/>
      <c r="G206" s="305"/>
      <c r="H206" s="305"/>
      <c r="I206" s="305"/>
      <c r="J206" s="305"/>
      <c r="K206" s="305"/>
      <c r="L206" s="305"/>
      <c r="M206" s="305"/>
      <c r="N206" s="305"/>
      <c r="O206" s="305"/>
      <c r="P206" s="305"/>
      <c r="Q206" s="305"/>
      <c r="R206" s="305"/>
      <c r="S206" s="305"/>
      <c r="T206" s="305"/>
      <c r="U206" s="305"/>
      <c r="V206" s="305"/>
      <c r="W206" s="305"/>
      <c r="X206" s="305"/>
      <c r="Y206" s="305"/>
      <c r="Z206" s="305"/>
      <c r="AA206" s="305"/>
      <c r="AB206" s="305"/>
      <c r="AC206" s="305"/>
      <c r="AD206" s="305"/>
      <c r="AE206" s="305"/>
    </row>
    <row r="207" spans="1:31">
      <c r="A207" s="305"/>
      <c r="B207" s="305"/>
      <c r="C207" s="305"/>
      <c r="D207" s="305"/>
      <c r="E207" s="305"/>
      <c r="F207" s="305"/>
      <c r="G207" s="305"/>
      <c r="H207" s="305"/>
      <c r="I207" s="305"/>
      <c r="J207" s="305"/>
      <c r="K207" s="305"/>
      <c r="L207" s="305"/>
      <c r="M207" s="305"/>
      <c r="N207" s="305"/>
      <c r="O207" s="305"/>
      <c r="P207" s="305"/>
      <c r="Q207" s="305"/>
      <c r="R207" s="305"/>
      <c r="S207" s="305"/>
      <c r="T207" s="305"/>
      <c r="U207" s="305"/>
      <c r="V207" s="305"/>
      <c r="W207" s="305"/>
      <c r="X207" s="305"/>
      <c r="Y207" s="305"/>
      <c r="Z207" s="305"/>
      <c r="AA207" s="305"/>
      <c r="AB207" s="305"/>
      <c r="AC207" s="305"/>
      <c r="AD207" s="305"/>
      <c r="AE207" s="305"/>
    </row>
    <row r="208" spans="1:31">
      <c r="A208" s="305"/>
      <c r="B208" s="305"/>
      <c r="C208" s="305"/>
      <c r="D208" s="305"/>
      <c r="E208" s="305"/>
      <c r="F208" s="305"/>
      <c r="G208" s="305"/>
      <c r="H208" s="305"/>
      <c r="I208" s="305"/>
      <c r="J208" s="305"/>
      <c r="K208" s="305"/>
      <c r="L208" s="305"/>
      <c r="M208" s="305"/>
      <c r="N208" s="305"/>
      <c r="O208" s="305"/>
      <c r="P208" s="305"/>
      <c r="Q208" s="305"/>
      <c r="R208" s="305"/>
      <c r="S208" s="305"/>
      <c r="T208" s="305"/>
      <c r="U208" s="305"/>
      <c r="V208" s="305"/>
      <c r="W208" s="305"/>
      <c r="X208" s="305"/>
      <c r="Y208" s="305"/>
      <c r="Z208" s="305"/>
      <c r="AA208" s="305"/>
      <c r="AB208" s="305"/>
      <c r="AC208" s="305"/>
      <c r="AD208" s="305"/>
      <c r="AE208" s="305"/>
    </row>
    <row r="209" spans="1:31">
      <c r="A209" s="305"/>
      <c r="B209" s="305"/>
      <c r="C209" s="305"/>
      <c r="D209" s="305"/>
      <c r="E209" s="305"/>
      <c r="F209" s="305"/>
      <c r="G209" s="305"/>
      <c r="H209" s="305"/>
      <c r="I209" s="305"/>
      <c r="J209" s="305"/>
      <c r="K209" s="305"/>
      <c r="L209" s="305"/>
      <c r="M209" s="305"/>
      <c r="N209" s="305"/>
      <c r="O209" s="305"/>
      <c r="P209" s="305"/>
      <c r="Q209" s="305"/>
      <c r="R209" s="305"/>
      <c r="S209" s="305"/>
      <c r="T209" s="305"/>
      <c r="U209" s="305"/>
      <c r="V209" s="305"/>
      <c r="W209" s="305"/>
      <c r="X209" s="305"/>
      <c r="Y209" s="305"/>
      <c r="Z209" s="305"/>
      <c r="AA209" s="305"/>
      <c r="AB209" s="305"/>
      <c r="AC209" s="305"/>
      <c r="AD209" s="305"/>
      <c r="AE209" s="305"/>
    </row>
    <row r="210" spans="1:31">
      <c r="A210" s="305"/>
      <c r="B210" s="305"/>
      <c r="C210" s="305"/>
      <c r="D210" s="305"/>
      <c r="E210" s="305"/>
      <c r="F210" s="305"/>
      <c r="G210" s="305"/>
      <c r="H210" s="305"/>
      <c r="I210" s="305"/>
      <c r="J210" s="305"/>
      <c r="K210" s="305"/>
      <c r="L210" s="305"/>
      <c r="M210" s="305"/>
      <c r="N210" s="305"/>
      <c r="O210" s="305"/>
      <c r="P210" s="305"/>
      <c r="Q210" s="305"/>
      <c r="R210" s="305"/>
      <c r="S210" s="305"/>
      <c r="T210" s="305"/>
      <c r="U210" s="305"/>
      <c r="V210" s="305"/>
      <c r="W210" s="305"/>
      <c r="X210" s="305"/>
      <c r="Y210" s="305"/>
      <c r="Z210" s="305"/>
      <c r="AA210" s="305"/>
      <c r="AB210" s="305"/>
      <c r="AC210" s="305"/>
      <c r="AD210" s="305"/>
      <c r="AE210" s="305"/>
    </row>
    <row r="211" spans="1:31">
      <c r="A211" s="305"/>
      <c r="B211" s="305"/>
      <c r="C211" s="305"/>
      <c r="D211" s="305"/>
      <c r="E211" s="305"/>
      <c r="F211" s="305"/>
      <c r="G211" s="305"/>
      <c r="H211" s="305"/>
      <c r="I211" s="305"/>
      <c r="J211" s="305"/>
      <c r="K211" s="305"/>
      <c r="L211" s="305"/>
      <c r="M211" s="305"/>
      <c r="N211" s="305"/>
      <c r="O211" s="305"/>
      <c r="P211" s="305"/>
      <c r="Q211" s="305"/>
      <c r="R211" s="305"/>
      <c r="S211" s="305"/>
      <c r="T211" s="305"/>
      <c r="U211" s="305"/>
      <c r="V211" s="305"/>
      <c r="W211" s="305"/>
      <c r="X211" s="305"/>
      <c r="Y211" s="305"/>
      <c r="Z211" s="305"/>
      <c r="AA211" s="305"/>
      <c r="AB211" s="305"/>
      <c r="AC211" s="305"/>
      <c r="AD211" s="305"/>
      <c r="AE211" s="305"/>
    </row>
    <row r="212" spans="1:31">
      <c r="A212" s="305"/>
      <c r="B212" s="305"/>
      <c r="C212" s="305"/>
      <c r="D212" s="305"/>
      <c r="E212" s="305"/>
      <c r="F212" s="305"/>
      <c r="G212" s="305"/>
      <c r="H212" s="305"/>
      <c r="I212" s="305"/>
      <c r="J212" s="305"/>
      <c r="K212" s="305"/>
      <c r="L212" s="305"/>
      <c r="M212" s="305"/>
      <c r="N212" s="305"/>
      <c r="O212" s="305"/>
      <c r="P212" s="305"/>
      <c r="Q212" s="305"/>
      <c r="R212" s="305"/>
      <c r="S212" s="305"/>
      <c r="T212" s="305"/>
      <c r="U212" s="305"/>
      <c r="V212" s="305"/>
      <c r="W212" s="305"/>
      <c r="X212" s="305"/>
      <c r="Y212" s="305"/>
      <c r="Z212" s="305"/>
      <c r="AA212" s="305"/>
      <c r="AB212" s="305"/>
      <c r="AC212" s="305"/>
      <c r="AD212" s="305"/>
      <c r="AE212" s="305"/>
    </row>
    <row r="213" spans="1:31">
      <c r="A213" s="305"/>
      <c r="B213" s="305"/>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row>
    <row r="214" spans="1:31">
      <c r="A214" s="305"/>
      <c r="B214" s="305"/>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row>
    <row r="215" spans="1:31">
      <c r="A215" s="305"/>
      <c r="B215" s="305"/>
      <c r="C215" s="305"/>
      <c r="D215" s="305"/>
      <c r="E215" s="305"/>
      <c r="F215" s="305"/>
      <c r="G215" s="305"/>
      <c r="H215" s="305"/>
      <c r="I215" s="305"/>
      <c r="J215" s="305"/>
      <c r="K215" s="305"/>
      <c r="L215" s="305"/>
      <c r="M215" s="305"/>
      <c r="N215" s="305"/>
      <c r="O215" s="305"/>
      <c r="P215" s="305"/>
      <c r="Q215" s="305"/>
      <c r="R215" s="305"/>
      <c r="S215" s="305"/>
      <c r="T215" s="305"/>
      <c r="U215" s="305"/>
      <c r="V215" s="305"/>
      <c r="W215" s="305"/>
      <c r="X215" s="305"/>
      <c r="Y215" s="305"/>
      <c r="Z215" s="305"/>
      <c r="AA215" s="305"/>
      <c r="AB215" s="305"/>
      <c r="AC215" s="305"/>
      <c r="AD215" s="305"/>
      <c r="AE215" s="305"/>
    </row>
    <row r="216" spans="1:31">
      <c r="A216" s="305"/>
      <c r="B216" s="305"/>
      <c r="C216" s="305"/>
      <c r="D216" s="305"/>
      <c r="E216" s="305"/>
      <c r="F216" s="305"/>
      <c r="G216" s="305"/>
      <c r="H216" s="305"/>
      <c r="I216" s="305"/>
      <c r="J216" s="305"/>
      <c r="K216" s="305"/>
      <c r="L216" s="305"/>
      <c r="M216" s="305"/>
      <c r="N216" s="305"/>
      <c r="O216" s="305"/>
      <c r="P216" s="305"/>
      <c r="Q216" s="305"/>
      <c r="R216" s="305"/>
      <c r="S216" s="305"/>
      <c r="T216" s="305"/>
      <c r="U216" s="305"/>
      <c r="V216" s="305"/>
      <c r="W216" s="305"/>
      <c r="X216" s="305"/>
      <c r="Y216" s="305"/>
      <c r="Z216" s="305"/>
      <c r="AA216" s="305"/>
      <c r="AB216" s="305"/>
      <c r="AC216" s="305"/>
      <c r="AD216" s="305"/>
      <c r="AE216" s="305"/>
    </row>
    <row r="217" spans="1:31">
      <c r="A217" s="305"/>
      <c r="B217" s="305"/>
      <c r="C217" s="305"/>
      <c r="D217" s="305"/>
      <c r="E217" s="305"/>
      <c r="F217" s="305"/>
      <c r="G217" s="305"/>
      <c r="H217" s="305"/>
      <c r="I217" s="305"/>
      <c r="J217" s="305"/>
      <c r="K217" s="305"/>
      <c r="L217" s="305"/>
      <c r="M217" s="305"/>
      <c r="N217" s="305"/>
      <c r="O217" s="305"/>
      <c r="P217" s="305"/>
      <c r="Q217" s="305"/>
      <c r="R217" s="305"/>
      <c r="S217" s="305"/>
      <c r="T217" s="305"/>
      <c r="U217" s="305"/>
      <c r="V217" s="305"/>
      <c r="W217" s="305"/>
      <c r="X217" s="305"/>
      <c r="Y217" s="305"/>
      <c r="Z217" s="305"/>
      <c r="AA217" s="305"/>
      <c r="AB217" s="305"/>
      <c r="AC217" s="305"/>
      <c r="AD217" s="305"/>
      <c r="AE217" s="305"/>
    </row>
    <row r="218" spans="1:31">
      <c r="A218" s="305"/>
      <c r="B218" s="305"/>
      <c r="C218" s="305"/>
      <c r="D218" s="305"/>
      <c r="E218" s="305"/>
      <c r="F218" s="305"/>
      <c r="G218" s="305"/>
      <c r="H218" s="305"/>
      <c r="I218" s="305"/>
      <c r="J218" s="305"/>
      <c r="K218" s="305"/>
      <c r="L218" s="305"/>
      <c r="M218" s="305"/>
      <c r="N218" s="305"/>
      <c r="O218" s="305"/>
      <c r="P218" s="305"/>
      <c r="Q218" s="305"/>
      <c r="R218" s="305"/>
      <c r="S218" s="305"/>
      <c r="T218" s="305"/>
      <c r="U218" s="305"/>
      <c r="V218" s="305"/>
      <c r="W218" s="305"/>
      <c r="X218" s="305"/>
      <c r="Y218" s="305"/>
      <c r="Z218" s="305"/>
      <c r="AA218" s="305"/>
      <c r="AB218" s="305"/>
      <c r="AC218" s="305"/>
      <c r="AD218" s="305"/>
      <c r="AE218" s="305"/>
    </row>
    <row r="219" spans="1:31">
      <c r="A219" s="305"/>
      <c r="B219" s="305"/>
      <c r="C219" s="305"/>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row>
    <row r="220" spans="1:31">
      <c r="A220" s="305"/>
      <c r="B220" s="305"/>
      <c r="C220" s="305"/>
      <c r="D220" s="305"/>
      <c r="E220" s="305"/>
      <c r="F220" s="305"/>
      <c r="G220" s="305"/>
      <c r="H220" s="305"/>
      <c r="I220" s="305"/>
      <c r="J220" s="305"/>
      <c r="K220" s="305"/>
      <c r="L220" s="305"/>
      <c r="M220" s="305"/>
      <c r="N220" s="305"/>
      <c r="O220" s="305"/>
      <c r="P220" s="305"/>
      <c r="Q220" s="305"/>
      <c r="R220" s="305"/>
      <c r="S220" s="305"/>
      <c r="T220" s="305"/>
      <c r="U220" s="305"/>
      <c r="V220" s="305"/>
      <c r="W220" s="305"/>
      <c r="X220" s="305"/>
      <c r="Y220" s="305"/>
      <c r="Z220" s="305"/>
      <c r="AA220" s="305"/>
      <c r="AB220" s="305"/>
      <c r="AC220" s="305"/>
      <c r="AD220" s="305"/>
      <c r="AE220" s="305"/>
    </row>
    <row r="221" spans="1:31">
      <c r="A221" s="305"/>
      <c r="B221" s="305"/>
      <c r="C221" s="305"/>
      <c r="D221" s="305"/>
      <c r="E221" s="305"/>
      <c r="F221" s="305"/>
      <c r="G221" s="305"/>
      <c r="H221" s="305"/>
      <c r="I221" s="305"/>
      <c r="J221" s="305"/>
      <c r="K221" s="305"/>
      <c r="L221" s="305"/>
      <c r="M221" s="305"/>
      <c r="N221" s="305"/>
      <c r="O221" s="305"/>
      <c r="P221" s="305"/>
      <c r="Q221" s="305"/>
      <c r="R221" s="305"/>
      <c r="S221" s="305"/>
      <c r="T221" s="305"/>
      <c r="U221" s="305"/>
      <c r="V221" s="305"/>
      <c r="W221" s="305"/>
      <c r="X221" s="305"/>
      <c r="Y221" s="305"/>
      <c r="Z221" s="305"/>
      <c r="AA221" s="305"/>
      <c r="AB221" s="305"/>
      <c r="AC221" s="305"/>
      <c r="AD221" s="305"/>
      <c r="AE221" s="305"/>
    </row>
    <row r="222" spans="1:31">
      <c r="A222" s="305"/>
      <c r="B222" s="305"/>
      <c r="C222" s="305"/>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row>
    <row r="223" spans="1:31">
      <c r="A223" s="305"/>
      <c r="B223" s="305"/>
      <c r="C223" s="305"/>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row>
    <row r="224" spans="1:31">
      <c r="A224" s="305"/>
      <c r="B224" s="305"/>
      <c r="C224" s="305"/>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row>
    <row r="225" spans="1:31">
      <c r="A225" s="305"/>
      <c r="B225" s="305"/>
      <c r="C225" s="305"/>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row>
    <row r="226" spans="1:31">
      <c r="A226" s="305"/>
      <c r="B226" s="305"/>
      <c r="C226" s="305"/>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row>
    <row r="227" spans="1:31">
      <c r="A227" s="305"/>
      <c r="B227" s="305"/>
      <c r="C227" s="305"/>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row>
    <row r="228" spans="1:31">
      <c r="A228" s="305"/>
      <c r="B228" s="305"/>
      <c r="C228" s="305"/>
      <c r="D228" s="305"/>
      <c r="E228" s="305"/>
      <c r="F228" s="305"/>
      <c r="G228" s="305"/>
      <c r="H228" s="305"/>
      <c r="I228" s="305"/>
      <c r="J228" s="305"/>
      <c r="K228" s="305"/>
      <c r="L228" s="305"/>
      <c r="M228" s="305"/>
      <c r="N228" s="305"/>
      <c r="O228" s="305"/>
      <c r="P228" s="305"/>
      <c r="Q228" s="305"/>
      <c r="R228" s="305"/>
      <c r="S228" s="305"/>
      <c r="T228" s="305"/>
      <c r="U228" s="305"/>
      <c r="V228" s="305"/>
      <c r="W228" s="305"/>
      <c r="X228" s="305"/>
      <c r="Y228" s="305"/>
      <c r="Z228" s="305"/>
      <c r="AA228" s="305"/>
      <c r="AB228" s="305"/>
      <c r="AC228" s="305"/>
      <c r="AD228" s="305"/>
      <c r="AE228" s="305"/>
    </row>
    <row r="229" spans="1:31">
      <c r="A229" s="305"/>
      <c r="B229" s="305"/>
      <c r="C229" s="305"/>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row>
    <row r="230" spans="1:31">
      <c r="A230" s="305"/>
      <c r="B230" s="305"/>
      <c r="C230" s="305"/>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row>
    <row r="231" spans="1:31">
      <c r="A231" s="305"/>
      <c r="B231" s="305"/>
      <c r="C231" s="305"/>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row>
    <row r="232" spans="1:31">
      <c r="A232" s="305"/>
      <c r="B232" s="305"/>
      <c r="C232" s="305"/>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row>
    <row r="233" spans="1:31">
      <c r="A233" s="305"/>
      <c r="B233" s="305"/>
      <c r="C233" s="305"/>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row>
    <row r="234" spans="1:31">
      <c r="A234" s="305"/>
      <c r="B234" s="305"/>
      <c r="C234" s="305"/>
      <c r="D234" s="305"/>
      <c r="E234" s="305"/>
      <c r="F234" s="305"/>
      <c r="G234" s="305"/>
      <c r="H234" s="305"/>
      <c r="I234" s="305"/>
      <c r="J234" s="305"/>
      <c r="K234" s="305"/>
      <c r="L234" s="305"/>
      <c r="M234" s="305"/>
      <c r="N234" s="305"/>
      <c r="O234" s="305"/>
      <c r="P234" s="305"/>
      <c r="Q234" s="305"/>
      <c r="R234" s="305"/>
      <c r="S234" s="305"/>
      <c r="T234" s="305"/>
      <c r="U234" s="305"/>
      <c r="V234" s="305"/>
      <c r="W234" s="305"/>
      <c r="X234" s="305"/>
      <c r="Y234" s="305"/>
      <c r="Z234" s="305"/>
      <c r="AA234" s="305"/>
      <c r="AB234" s="305"/>
      <c r="AC234" s="305"/>
      <c r="AD234" s="305"/>
      <c r="AE234" s="305"/>
    </row>
    <row r="235" spans="1:31">
      <c r="A235" s="305"/>
      <c r="B235" s="305"/>
      <c r="C235" s="305"/>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row>
    <row r="236" spans="1:31">
      <c r="A236" s="305"/>
      <c r="B236" s="305"/>
      <c r="C236" s="305"/>
      <c r="D236" s="305"/>
      <c r="E236" s="305"/>
      <c r="F236" s="305"/>
      <c r="G236" s="305"/>
      <c r="H236" s="305"/>
      <c r="I236" s="305"/>
      <c r="J236" s="305"/>
      <c r="K236" s="305"/>
      <c r="L236" s="305"/>
      <c r="M236" s="305"/>
      <c r="N236" s="305"/>
      <c r="O236" s="305"/>
      <c r="P236" s="305"/>
      <c r="Q236" s="305"/>
      <c r="R236" s="305"/>
      <c r="S236" s="305"/>
      <c r="T236" s="305"/>
      <c r="U236" s="305"/>
      <c r="V236" s="305"/>
      <c r="W236" s="305"/>
      <c r="X236" s="305"/>
      <c r="Y236" s="305"/>
      <c r="Z236" s="305"/>
      <c r="AA236" s="305"/>
      <c r="AB236" s="305"/>
      <c r="AC236" s="305"/>
      <c r="AD236" s="305"/>
      <c r="AE236" s="305"/>
    </row>
    <row r="237" spans="1:31">
      <c r="A237" s="305"/>
      <c r="B237" s="305"/>
      <c r="C237" s="305"/>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row>
    <row r="238" spans="1:31">
      <c r="A238" s="305"/>
      <c r="B238" s="305"/>
      <c r="C238" s="305"/>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row>
    <row r="239" spans="1:31">
      <c r="A239" s="305"/>
      <c r="B239" s="305"/>
      <c r="C239" s="305"/>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row>
    <row r="240" spans="1:31">
      <c r="A240" s="305"/>
      <c r="B240" s="305"/>
      <c r="C240" s="305"/>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row>
    <row r="241" spans="1:31">
      <c r="A241" s="305"/>
      <c r="B241" s="305"/>
      <c r="C241" s="305"/>
      <c r="D241" s="305"/>
      <c r="E241" s="305"/>
      <c r="F241" s="305"/>
      <c r="G241" s="305"/>
      <c r="H241" s="305"/>
      <c r="I241" s="305"/>
      <c r="J241" s="305"/>
      <c r="K241" s="305"/>
      <c r="L241" s="305"/>
      <c r="M241" s="305"/>
      <c r="N241" s="305"/>
      <c r="O241" s="305"/>
      <c r="P241" s="305"/>
      <c r="Q241" s="305"/>
      <c r="R241" s="305"/>
      <c r="S241" s="305"/>
      <c r="T241" s="305"/>
      <c r="U241" s="305"/>
      <c r="V241" s="305"/>
      <c r="W241" s="305"/>
      <c r="X241" s="305"/>
      <c r="Y241" s="305"/>
      <c r="Z241" s="305"/>
      <c r="AA241" s="305"/>
      <c r="AB241" s="305"/>
      <c r="AC241" s="305"/>
      <c r="AD241" s="305"/>
      <c r="AE241" s="305"/>
    </row>
    <row r="242" spans="1:31">
      <c r="A242" s="305"/>
      <c r="B242" s="305"/>
      <c r="C242" s="305"/>
      <c r="D242" s="305"/>
      <c r="E242" s="305"/>
      <c r="F242" s="305"/>
      <c r="G242" s="305"/>
      <c r="H242" s="305"/>
      <c r="I242" s="305"/>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row>
    <row r="243" spans="1:31">
      <c r="A243" s="305"/>
      <c r="B243" s="305"/>
      <c r="C243" s="305"/>
      <c r="D243" s="305"/>
      <c r="E243" s="305"/>
      <c r="F243" s="305"/>
      <c r="G243" s="305"/>
      <c r="H243" s="305"/>
      <c r="I243" s="305"/>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row>
    <row r="244" spans="1:31">
      <c r="A244" s="305"/>
      <c r="B244" s="305"/>
      <c r="C244" s="305"/>
      <c r="D244" s="305"/>
      <c r="E244" s="305"/>
      <c r="F244" s="305"/>
      <c r="G244" s="305"/>
      <c r="H244" s="305"/>
      <c r="I244" s="305"/>
      <c r="J244" s="305"/>
      <c r="K244" s="305"/>
      <c r="L244" s="305"/>
      <c r="M244" s="305"/>
      <c r="N244" s="305"/>
      <c r="O244" s="305"/>
      <c r="P244" s="305"/>
      <c r="Q244" s="305"/>
      <c r="R244" s="305"/>
      <c r="S244" s="305"/>
      <c r="T244" s="305"/>
      <c r="U244" s="305"/>
      <c r="V244" s="305"/>
      <c r="W244" s="305"/>
      <c r="X244" s="305"/>
      <c r="Y244" s="305"/>
      <c r="Z244" s="305"/>
      <c r="AA244" s="305"/>
      <c r="AB244" s="305"/>
      <c r="AC244" s="305"/>
      <c r="AD244" s="305"/>
      <c r="AE244" s="305"/>
    </row>
    <row r="245" spans="1:31">
      <c r="A245" s="305"/>
      <c r="B245" s="305"/>
      <c r="C245" s="305"/>
      <c r="D245" s="305"/>
      <c r="E245" s="305"/>
      <c r="F245" s="305"/>
      <c r="G245" s="305"/>
      <c r="H245" s="305"/>
      <c r="I245" s="305"/>
      <c r="J245" s="305"/>
      <c r="K245" s="305"/>
      <c r="L245" s="305"/>
      <c r="M245" s="305"/>
      <c r="N245" s="305"/>
      <c r="O245" s="305"/>
      <c r="P245" s="305"/>
      <c r="Q245" s="305"/>
      <c r="R245" s="305"/>
      <c r="S245" s="305"/>
      <c r="T245" s="305"/>
      <c r="U245" s="305"/>
      <c r="V245" s="305"/>
      <c r="W245" s="305"/>
      <c r="X245" s="305"/>
      <c r="Y245" s="305"/>
      <c r="Z245" s="305"/>
      <c r="AA245" s="305"/>
      <c r="AB245" s="305"/>
      <c r="AC245" s="305"/>
      <c r="AD245" s="305"/>
      <c r="AE245" s="305"/>
    </row>
    <row r="246" spans="1:31">
      <c r="A246" s="305"/>
      <c r="B246" s="305"/>
      <c r="C246" s="305"/>
      <c r="D246" s="305"/>
      <c r="E246" s="305"/>
      <c r="F246" s="305"/>
      <c r="G246" s="305"/>
      <c r="H246" s="305"/>
      <c r="I246" s="305"/>
      <c r="J246" s="305"/>
      <c r="K246" s="305"/>
      <c r="L246" s="305"/>
      <c r="M246" s="305"/>
      <c r="N246" s="305"/>
      <c r="O246" s="305"/>
      <c r="P246" s="305"/>
      <c r="Q246" s="305"/>
      <c r="R246" s="305"/>
      <c r="S246" s="305"/>
      <c r="T246" s="305"/>
      <c r="U246" s="305"/>
      <c r="V246" s="305"/>
      <c r="W246" s="305"/>
      <c r="X246" s="305"/>
      <c r="Y246" s="305"/>
      <c r="Z246" s="305"/>
      <c r="AA246" s="305"/>
      <c r="AB246" s="305"/>
      <c r="AC246" s="305"/>
      <c r="AD246" s="305"/>
      <c r="AE246" s="305"/>
    </row>
    <row r="247" spans="1:31">
      <c r="A247" s="305"/>
      <c r="B247" s="305"/>
      <c r="C247" s="305"/>
      <c r="D247" s="305"/>
      <c r="E247" s="305"/>
      <c r="F247" s="305"/>
      <c r="G247" s="305"/>
      <c r="H247" s="305"/>
      <c r="I247" s="305"/>
      <c r="J247" s="305"/>
      <c r="K247" s="305"/>
      <c r="L247" s="305"/>
      <c r="M247" s="305"/>
      <c r="N247" s="305"/>
      <c r="O247" s="305"/>
      <c r="P247" s="305"/>
      <c r="Q247" s="305"/>
      <c r="R247" s="305"/>
      <c r="S247" s="305"/>
      <c r="T247" s="305"/>
      <c r="U247" s="305"/>
      <c r="V247" s="305"/>
      <c r="W247" s="305"/>
      <c r="X247" s="305"/>
      <c r="Y247" s="305"/>
      <c r="Z247" s="305"/>
      <c r="AA247" s="305"/>
      <c r="AB247" s="305"/>
      <c r="AC247" s="305"/>
      <c r="AD247" s="305"/>
      <c r="AE247" s="305"/>
    </row>
    <row r="248" spans="1:31">
      <c r="A248" s="305"/>
      <c r="B248" s="305"/>
      <c r="C248" s="305"/>
      <c r="D248" s="305"/>
      <c r="E248" s="305"/>
      <c r="F248" s="305"/>
      <c r="G248" s="305"/>
      <c r="H248" s="305"/>
      <c r="I248" s="305"/>
      <c r="J248" s="305"/>
      <c r="K248" s="305"/>
      <c r="L248" s="305"/>
      <c r="M248" s="305"/>
      <c r="N248" s="305"/>
      <c r="O248" s="305"/>
      <c r="P248" s="305"/>
      <c r="Q248" s="305"/>
      <c r="R248" s="305"/>
      <c r="S248" s="305"/>
      <c r="T248" s="305"/>
      <c r="U248" s="305"/>
      <c r="V248" s="305"/>
      <c r="W248" s="305"/>
      <c r="X248" s="305"/>
      <c r="Y248" s="305"/>
      <c r="Z248" s="305"/>
      <c r="AA248" s="305"/>
      <c r="AB248" s="305"/>
      <c r="AC248" s="305"/>
      <c r="AD248" s="305"/>
      <c r="AE248" s="305"/>
    </row>
    <row r="249" spans="1:31">
      <c r="A249" s="305"/>
      <c r="B249" s="305"/>
      <c r="C249" s="305"/>
      <c r="D249" s="305"/>
      <c r="E249" s="305"/>
      <c r="F249" s="305"/>
      <c r="G249" s="305"/>
      <c r="H249" s="305"/>
      <c r="I249" s="305"/>
      <c r="J249" s="305"/>
      <c r="K249" s="305"/>
      <c r="L249" s="305"/>
      <c r="M249" s="305"/>
      <c r="N249" s="305"/>
      <c r="O249" s="305"/>
      <c r="P249" s="305"/>
      <c r="Q249" s="305"/>
      <c r="R249" s="305"/>
      <c r="S249" s="305"/>
      <c r="T249" s="305"/>
      <c r="U249" s="305"/>
      <c r="V249" s="305"/>
      <c r="W249" s="305"/>
      <c r="X249" s="305"/>
      <c r="Y249" s="305"/>
      <c r="Z249" s="305"/>
      <c r="AA249" s="305"/>
      <c r="AB249" s="305"/>
      <c r="AC249" s="305"/>
      <c r="AD249" s="305"/>
      <c r="AE249" s="305"/>
    </row>
    <row r="250" spans="1:31">
      <c r="A250" s="305"/>
      <c r="B250" s="305"/>
      <c r="C250" s="305"/>
      <c r="D250" s="305"/>
      <c r="E250" s="305"/>
      <c r="F250" s="305"/>
      <c r="G250" s="305"/>
      <c r="H250" s="305"/>
      <c r="I250" s="305"/>
      <c r="J250" s="305"/>
      <c r="K250" s="305"/>
      <c r="L250" s="305"/>
      <c r="M250" s="305"/>
      <c r="N250" s="305"/>
      <c r="O250" s="305"/>
      <c r="P250" s="305"/>
      <c r="Q250" s="305"/>
      <c r="R250" s="305"/>
      <c r="S250" s="305"/>
      <c r="T250" s="305"/>
      <c r="U250" s="305"/>
      <c r="V250" s="305"/>
      <c r="W250" s="305"/>
      <c r="X250" s="305"/>
      <c r="Y250" s="305"/>
      <c r="Z250" s="305"/>
      <c r="AA250" s="305"/>
      <c r="AB250" s="305"/>
      <c r="AC250" s="305"/>
      <c r="AD250" s="305"/>
      <c r="AE250" s="305"/>
    </row>
    <row r="251" spans="1:31">
      <c r="A251" s="305"/>
      <c r="B251" s="305"/>
      <c r="C251" s="305"/>
      <c r="D251" s="305"/>
      <c r="E251" s="305"/>
      <c r="F251" s="305"/>
      <c r="G251" s="305"/>
      <c r="H251" s="305"/>
      <c r="I251" s="305"/>
      <c r="J251" s="305"/>
      <c r="K251" s="305"/>
      <c r="L251" s="305"/>
      <c r="M251" s="305"/>
      <c r="N251" s="305"/>
      <c r="O251" s="305"/>
      <c r="P251" s="305"/>
      <c r="Q251" s="305"/>
      <c r="R251" s="305"/>
      <c r="S251" s="305"/>
      <c r="T251" s="305"/>
      <c r="U251" s="305"/>
      <c r="V251" s="305"/>
      <c r="W251" s="305"/>
      <c r="X251" s="305"/>
      <c r="Y251" s="305"/>
      <c r="Z251" s="305"/>
      <c r="AA251" s="305"/>
      <c r="AB251" s="305"/>
      <c r="AC251" s="305"/>
      <c r="AD251" s="305"/>
      <c r="AE251" s="305"/>
    </row>
    <row r="252" spans="1:31">
      <c r="A252" s="305"/>
      <c r="B252" s="305"/>
      <c r="C252" s="305"/>
      <c r="D252" s="305"/>
      <c r="E252" s="305"/>
      <c r="F252" s="305"/>
      <c r="G252" s="305"/>
      <c r="H252" s="305"/>
      <c r="I252" s="305"/>
      <c r="J252" s="305"/>
      <c r="K252" s="305"/>
      <c r="L252" s="305"/>
      <c r="M252" s="305"/>
      <c r="N252" s="305"/>
      <c r="O252" s="305"/>
      <c r="P252" s="305"/>
      <c r="Q252" s="305"/>
      <c r="R252" s="305"/>
      <c r="S252" s="305"/>
      <c r="T252" s="305"/>
      <c r="U252" s="305"/>
      <c r="V252" s="305"/>
      <c r="W252" s="305"/>
      <c r="X252" s="305"/>
      <c r="Y252" s="305"/>
      <c r="Z252" s="305"/>
      <c r="AA252" s="305"/>
      <c r="AB252" s="305"/>
      <c r="AC252" s="305"/>
      <c r="AD252" s="305"/>
      <c r="AE252" s="305"/>
    </row>
    <row r="253" spans="1:31">
      <c r="A253" s="305"/>
      <c r="B253" s="305"/>
      <c r="C253" s="305"/>
      <c r="D253" s="305"/>
      <c r="E253" s="305"/>
      <c r="F253" s="305"/>
      <c r="G253" s="305"/>
      <c r="H253" s="305"/>
      <c r="I253" s="305"/>
      <c r="J253" s="305"/>
      <c r="K253" s="305"/>
      <c r="L253" s="305"/>
      <c r="M253" s="305"/>
      <c r="N253" s="305"/>
      <c r="O253" s="305"/>
      <c r="P253" s="305"/>
      <c r="Q253" s="305"/>
      <c r="R253" s="305"/>
      <c r="S253" s="305"/>
      <c r="T253" s="305"/>
      <c r="U253" s="305"/>
      <c r="V253" s="305"/>
      <c r="W253" s="305"/>
      <c r="X253" s="305"/>
      <c r="Y253" s="305"/>
      <c r="Z253" s="305"/>
      <c r="AA253" s="305"/>
      <c r="AB253" s="305"/>
      <c r="AC253" s="305"/>
      <c r="AD253" s="305"/>
      <c r="AE253" s="305"/>
    </row>
    <row r="254" spans="1:31">
      <c r="A254" s="305"/>
      <c r="B254" s="305"/>
      <c r="C254" s="305"/>
      <c r="D254" s="305"/>
      <c r="E254" s="305"/>
      <c r="F254" s="305"/>
      <c r="G254" s="305"/>
      <c r="H254" s="305"/>
      <c r="I254" s="305"/>
      <c r="J254" s="305"/>
      <c r="K254" s="305"/>
      <c r="L254" s="305"/>
      <c r="M254" s="305"/>
      <c r="N254" s="305"/>
      <c r="O254" s="305"/>
      <c r="P254" s="305"/>
      <c r="Q254" s="305"/>
      <c r="R254" s="305"/>
      <c r="S254" s="305"/>
      <c r="T254" s="305"/>
      <c r="U254" s="305"/>
      <c r="V254" s="305"/>
      <c r="W254" s="305"/>
      <c r="X254" s="305"/>
      <c r="Y254" s="305"/>
      <c r="Z254" s="305"/>
      <c r="AA254" s="305"/>
      <c r="AB254" s="305"/>
      <c r="AC254" s="305"/>
      <c r="AD254" s="305"/>
      <c r="AE254" s="305"/>
    </row>
    <row r="255" spans="1:31">
      <c r="A255" s="305"/>
      <c r="B255" s="305"/>
      <c r="C255" s="305"/>
      <c r="D255" s="305"/>
      <c r="E255" s="305"/>
      <c r="F255" s="305"/>
      <c r="G255" s="305"/>
      <c r="H255" s="305"/>
      <c r="I255" s="305"/>
      <c r="J255" s="305"/>
      <c r="K255" s="305"/>
      <c r="L255" s="305"/>
      <c r="M255" s="305"/>
      <c r="N255" s="305"/>
      <c r="O255" s="305"/>
      <c r="P255" s="305"/>
      <c r="Q255" s="305"/>
      <c r="R255" s="305"/>
      <c r="S255" s="305"/>
      <c r="T255" s="305"/>
      <c r="U255" s="305"/>
      <c r="V255" s="305"/>
      <c r="W255" s="305"/>
      <c r="X255" s="305"/>
      <c r="Y255" s="305"/>
      <c r="Z255" s="305"/>
      <c r="AA255" s="305"/>
      <c r="AB255" s="305"/>
      <c r="AC255" s="305"/>
      <c r="AD255" s="305"/>
      <c r="AE255" s="305"/>
    </row>
    <row r="256" spans="1:31">
      <c r="A256" s="305"/>
      <c r="B256" s="305"/>
      <c r="C256" s="305"/>
      <c r="D256" s="305"/>
      <c r="E256" s="305"/>
      <c r="F256" s="305"/>
      <c r="G256" s="305"/>
      <c r="H256" s="305"/>
      <c r="I256" s="305"/>
      <c r="J256" s="305"/>
      <c r="K256" s="305"/>
      <c r="L256" s="305"/>
      <c r="M256" s="305"/>
      <c r="N256" s="305"/>
      <c r="O256" s="305"/>
      <c r="P256" s="305"/>
      <c r="Q256" s="305"/>
      <c r="R256" s="305"/>
      <c r="S256" s="305"/>
      <c r="T256" s="305"/>
      <c r="U256" s="305"/>
      <c r="V256" s="305"/>
      <c r="W256" s="305"/>
      <c r="X256" s="305"/>
      <c r="Y256" s="305"/>
      <c r="Z256" s="305"/>
      <c r="AA256" s="305"/>
      <c r="AB256" s="305"/>
      <c r="AC256" s="305"/>
      <c r="AD256" s="305"/>
      <c r="AE256" s="305"/>
    </row>
    <row r="257" spans="1:31">
      <c r="A257" s="305"/>
      <c r="B257" s="305"/>
      <c r="C257" s="305"/>
      <c r="D257" s="305"/>
      <c r="E257" s="305"/>
      <c r="F257" s="305"/>
      <c r="G257" s="305"/>
      <c r="H257" s="305"/>
      <c r="I257" s="305"/>
      <c r="J257" s="305"/>
      <c r="K257" s="305"/>
      <c r="L257" s="305"/>
      <c r="M257" s="305"/>
      <c r="N257" s="305"/>
      <c r="O257" s="305"/>
      <c r="P257" s="305"/>
      <c r="Q257" s="305"/>
      <c r="R257" s="305"/>
      <c r="S257" s="305"/>
      <c r="T257" s="305"/>
      <c r="U257" s="305"/>
      <c r="V257" s="305"/>
      <c r="W257" s="305"/>
      <c r="X257" s="305"/>
      <c r="Y257" s="305"/>
      <c r="Z257" s="305"/>
      <c r="AA257" s="305"/>
      <c r="AB257" s="305"/>
      <c r="AC257" s="305"/>
      <c r="AD257" s="305"/>
      <c r="AE257" s="305"/>
    </row>
    <row r="258" spans="1:31">
      <c r="A258" s="305"/>
      <c r="B258" s="305"/>
      <c r="C258" s="305"/>
      <c r="D258" s="305"/>
      <c r="E258" s="305"/>
      <c r="F258" s="305"/>
      <c r="G258" s="305"/>
      <c r="H258" s="305"/>
      <c r="I258" s="305"/>
      <c r="J258" s="305"/>
      <c r="K258" s="305"/>
      <c r="L258" s="305"/>
      <c r="M258" s="305"/>
      <c r="N258" s="305"/>
      <c r="O258" s="305"/>
      <c r="P258" s="305"/>
      <c r="Q258" s="305"/>
      <c r="R258" s="305"/>
      <c r="S258" s="305"/>
      <c r="T258" s="305"/>
      <c r="U258" s="305"/>
      <c r="V258" s="305"/>
      <c r="W258" s="305"/>
      <c r="X258" s="305"/>
      <c r="Y258" s="305"/>
      <c r="Z258" s="305"/>
      <c r="AA258" s="305"/>
      <c r="AB258" s="305"/>
      <c r="AC258" s="305"/>
      <c r="AD258" s="305"/>
      <c r="AE258" s="305"/>
    </row>
    <row r="259" spans="1:31">
      <c r="A259" s="305"/>
      <c r="B259" s="305"/>
      <c r="C259" s="305"/>
      <c r="D259" s="305"/>
      <c r="E259" s="305"/>
      <c r="F259" s="305"/>
      <c r="G259" s="305"/>
      <c r="H259" s="305"/>
      <c r="I259" s="305"/>
      <c r="J259" s="305"/>
      <c r="K259" s="305"/>
      <c r="L259" s="305"/>
      <c r="M259" s="305"/>
      <c r="N259" s="305"/>
      <c r="O259" s="305"/>
      <c r="P259" s="305"/>
      <c r="Q259" s="305"/>
      <c r="R259" s="305"/>
      <c r="S259" s="305"/>
      <c r="T259" s="305"/>
      <c r="U259" s="305"/>
      <c r="V259" s="305"/>
      <c r="W259" s="305"/>
      <c r="X259" s="305"/>
      <c r="Y259" s="305"/>
      <c r="Z259" s="305"/>
      <c r="AA259" s="305"/>
      <c r="AB259" s="305"/>
      <c r="AC259" s="305"/>
      <c r="AD259" s="305"/>
      <c r="AE259" s="305"/>
    </row>
    <row r="260" spans="1:31">
      <c r="A260" s="305"/>
      <c r="B260" s="305"/>
      <c r="C260" s="305"/>
      <c r="D260" s="305"/>
      <c r="E260" s="305"/>
      <c r="F260" s="305"/>
      <c r="G260" s="305"/>
      <c r="H260" s="305"/>
      <c r="I260" s="305"/>
      <c r="J260" s="305"/>
      <c r="K260" s="305"/>
      <c r="L260" s="305"/>
      <c r="M260" s="305"/>
      <c r="N260" s="305"/>
      <c r="O260" s="305"/>
      <c r="P260" s="305"/>
      <c r="Q260" s="305"/>
      <c r="R260" s="305"/>
      <c r="S260" s="305"/>
      <c r="T260" s="305"/>
      <c r="U260" s="305"/>
      <c r="V260" s="305"/>
      <c r="W260" s="305"/>
      <c r="X260" s="305"/>
      <c r="Y260" s="305"/>
      <c r="Z260" s="305"/>
      <c r="AA260" s="305"/>
      <c r="AB260" s="305"/>
      <c r="AC260" s="305"/>
      <c r="AD260" s="305"/>
      <c r="AE260" s="305"/>
    </row>
    <row r="261" spans="1:31">
      <c r="A261" s="305"/>
      <c r="B261" s="305"/>
      <c r="C261" s="305"/>
      <c r="D261" s="305"/>
      <c r="E261" s="305"/>
      <c r="F261" s="305"/>
      <c r="G261" s="305"/>
      <c r="H261" s="305"/>
      <c r="I261" s="305"/>
      <c r="J261" s="305"/>
      <c r="K261" s="305"/>
      <c r="L261" s="305"/>
      <c r="M261" s="305"/>
      <c r="N261" s="305"/>
      <c r="O261" s="305"/>
      <c r="P261" s="305"/>
      <c r="Q261" s="305"/>
      <c r="R261" s="305"/>
      <c r="S261" s="305"/>
      <c r="T261" s="305"/>
      <c r="U261" s="305"/>
      <c r="V261" s="305"/>
      <c r="W261" s="305"/>
      <c r="X261" s="305"/>
      <c r="Y261" s="305"/>
      <c r="Z261" s="305"/>
      <c r="AA261" s="305"/>
      <c r="AB261" s="305"/>
      <c r="AC261" s="305"/>
      <c r="AD261" s="305"/>
      <c r="AE261" s="305"/>
    </row>
    <row r="262" spans="1:31">
      <c r="A262" s="305"/>
      <c r="B262" s="305"/>
      <c r="C262" s="305"/>
      <c r="D262" s="305"/>
      <c r="E262" s="305"/>
      <c r="F262" s="305"/>
      <c r="G262" s="305"/>
      <c r="H262" s="305"/>
      <c r="I262" s="305"/>
      <c r="J262" s="305"/>
      <c r="K262" s="305"/>
      <c r="L262" s="305"/>
      <c r="M262" s="305"/>
      <c r="N262" s="305"/>
      <c r="O262" s="305"/>
      <c r="P262" s="305"/>
      <c r="Q262" s="305"/>
      <c r="R262" s="305"/>
      <c r="S262" s="305"/>
      <c r="T262" s="305"/>
      <c r="U262" s="305"/>
      <c r="V262" s="305"/>
      <c r="W262" s="305"/>
      <c r="X262" s="305"/>
      <c r="Y262" s="305"/>
      <c r="Z262" s="305"/>
      <c r="AA262" s="305"/>
      <c r="AB262" s="305"/>
      <c r="AC262" s="305"/>
      <c r="AD262" s="305"/>
      <c r="AE262" s="305"/>
    </row>
    <row r="263" spans="1:31">
      <c r="A263" s="305"/>
      <c r="B263" s="305"/>
      <c r="C263" s="305"/>
      <c r="D263" s="305"/>
      <c r="E263" s="305"/>
      <c r="F263" s="305"/>
      <c r="G263" s="305"/>
      <c r="H263" s="305"/>
      <c r="I263" s="305"/>
      <c r="J263" s="305"/>
      <c r="K263" s="305"/>
      <c r="L263" s="305"/>
      <c r="M263" s="305"/>
      <c r="N263" s="305"/>
      <c r="O263" s="305"/>
      <c r="P263" s="305"/>
      <c r="Q263" s="305"/>
      <c r="R263" s="305"/>
      <c r="S263" s="305"/>
      <c r="T263" s="305"/>
      <c r="U263" s="305"/>
      <c r="V263" s="305"/>
      <c r="W263" s="305"/>
      <c r="X263" s="305"/>
      <c r="Y263" s="305"/>
      <c r="Z263" s="305"/>
      <c r="AA263" s="305"/>
      <c r="AB263" s="305"/>
      <c r="AC263" s="305"/>
      <c r="AD263" s="305"/>
      <c r="AE263" s="305"/>
    </row>
    <row r="264" spans="1:31">
      <c r="A264" s="305"/>
      <c r="B264" s="305"/>
      <c r="C264" s="305"/>
      <c r="D264" s="305"/>
      <c r="E264" s="305"/>
      <c r="F264" s="305"/>
      <c r="G264" s="305"/>
      <c r="H264" s="305"/>
      <c r="I264" s="305"/>
      <c r="J264" s="305"/>
      <c r="K264" s="305"/>
      <c r="L264" s="305"/>
      <c r="M264" s="305"/>
      <c r="N264" s="305"/>
      <c r="O264" s="305"/>
      <c r="P264" s="305"/>
      <c r="Q264" s="305"/>
      <c r="R264" s="305"/>
      <c r="S264" s="305"/>
      <c r="T264" s="305"/>
      <c r="U264" s="305"/>
      <c r="V264" s="305"/>
      <c r="W264" s="305"/>
      <c r="X264" s="305"/>
      <c r="Y264" s="305"/>
      <c r="Z264" s="305"/>
      <c r="AA264" s="305"/>
      <c r="AB264" s="305"/>
      <c r="AC264" s="305"/>
      <c r="AD264" s="305"/>
      <c r="AE264" s="305"/>
    </row>
    <row r="265" spans="1:31">
      <c r="A265" s="305"/>
      <c r="B265" s="305"/>
      <c r="C265" s="305"/>
      <c r="D265" s="305"/>
      <c r="E265" s="305"/>
      <c r="F265" s="305"/>
      <c r="G265" s="305"/>
      <c r="H265" s="305"/>
      <c r="I265" s="305"/>
      <c r="J265" s="305"/>
      <c r="K265" s="305"/>
      <c r="L265" s="305"/>
      <c r="M265" s="305"/>
      <c r="N265" s="305"/>
      <c r="O265" s="305"/>
      <c r="P265" s="305"/>
      <c r="Q265" s="305"/>
      <c r="R265" s="305"/>
      <c r="S265" s="305"/>
      <c r="T265" s="305"/>
      <c r="U265" s="305"/>
      <c r="V265" s="305"/>
      <c r="W265" s="305"/>
      <c r="X265" s="305"/>
      <c r="Y265" s="305"/>
      <c r="Z265" s="305"/>
      <c r="AA265" s="305"/>
      <c r="AB265" s="305"/>
      <c r="AC265" s="305"/>
      <c r="AD265" s="305"/>
      <c r="AE265" s="305"/>
    </row>
    <row r="266" spans="1:31">
      <c r="A266" s="305"/>
      <c r="B266" s="305"/>
      <c r="C266" s="305"/>
      <c r="D266" s="305"/>
      <c r="E266" s="305"/>
      <c r="F266" s="305"/>
      <c r="G266" s="305"/>
      <c r="H266" s="305"/>
      <c r="I266" s="305"/>
      <c r="J266" s="305"/>
      <c r="K266" s="305"/>
      <c r="L266" s="305"/>
      <c r="M266" s="305"/>
      <c r="N266" s="305"/>
      <c r="O266" s="305"/>
      <c r="P266" s="305"/>
      <c r="Q266" s="305"/>
      <c r="R266" s="305"/>
      <c r="S266" s="305"/>
      <c r="T266" s="305"/>
      <c r="U266" s="305"/>
      <c r="V266" s="305"/>
      <c r="W266" s="305"/>
      <c r="X266" s="305"/>
      <c r="Y266" s="305"/>
      <c r="Z266" s="305"/>
      <c r="AA266" s="305"/>
      <c r="AB266" s="305"/>
      <c r="AC266" s="305"/>
      <c r="AD266" s="305"/>
      <c r="AE266" s="305"/>
    </row>
    <row r="267" spans="1:31">
      <c r="A267" s="305"/>
      <c r="B267" s="305"/>
      <c r="C267" s="305"/>
      <c r="D267" s="305"/>
      <c r="E267" s="305"/>
      <c r="F267" s="305"/>
      <c r="G267" s="305"/>
      <c r="H267" s="305"/>
      <c r="I267" s="305"/>
      <c r="J267" s="305"/>
      <c r="K267" s="305"/>
      <c r="L267" s="305"/>
      <c r="M267" s="305"/>
      <c r="N267" s="305"/>
      <c r="O267" s="305"/>
      <c r="P267" s="305"/>
      <c r="Q267" s="305"/>
      <c r="R267" s="305"/>
      <c r="S267" s="305"/>
      <c r="T267" s="305"/>
      <c r="U267" s="305"/>
      <c r="V267" s="305"/>
      <c r="W267" s="305"/>
      <c r="X267" s="305"/>
      <c r="Y267" s="305"/>
      <c r="Z267" s="305"/>
      <c r="AA267" s="305"/>
      <c r="AB267" s="305"/>
      <c r="AC267" s="305"/>
      <c r="AD267" s="305"/>
      <c r="AE267" s="305"/>
    </row>
    <row r="268" spans="1:31">
      <c r="A268" s="305"/>
      <c r="B268" s="305"/>
      <c r="C268" s="305"/>
      <c r="D268" s="305"/>
      <c r="E268" s="305"/>
      <c r="F268" s="305"/>
      <c r="G268" s="305"/>
      <c r="H268" s="305"/>
      <c r="I268" s="305"/>
      <c r="J268" s="305"/>
      <c r="K268" s="305"/>
      <c r="L268" s="305"/>
      <c r="M268" s="305"/>
      <c r="N268" s="305"/>
      <c r="O268" s="305"/>
      <c r="P268" s="305"/>
      <c r="Q268" s="305"/>
      <c r="R268" s="305"/>
      <c r="S268" s="305"/>
      <c r="T268" s="305"/>
      <c r="U268" s="305"/>
      <c r="V268" s="305"/>
      <c r="W268" s="305"/>
      <c r="X268" s="305"/>
      <c r="Y268" s="305"/>
      <c r="Z268" s="305"/>
      <c r="AA268" s="305"/>
      <c r="AB268" s="305"/>
      <c r="AC268" s="305"/>
      <c r="AD268" s="305"/>
      <c r="AE268" s="305"/>
    </row>
    <row r="269" spans="1:31">
      <c r="A269" s="305"/>
      <c r="B269" s="305"/>
      <c r="C269" s="305"/>
      <c r="D269" s="305"/>
      <c r="E269" s="305"/>
      <c r="F269" s="305"/>
      <c r="G269" s="305"/>
      <c r="H269" s="305"/>
      <c r="I269" s="305"/>
      <c r="J269" s="305"/>
      <c r="K269" s="305"/>
      <c r="L269" s="305"/>
      <c r="M269" s="305"/>
      <c r="N269" s="305"/>
      <c r="O269" s="305"/>
      <c r="P269" s="305"/>
      <c r="Q269" s="305"/>
      <c r="R269" s="305"/>
      <c r="S269" s="305"/>
      <c r="T269" s="305"/>
      <c r="U269" s="305"/>
      <c r="V269" s="305"/>
      <c r="W269" s="305"/>
      <c r="X269" s="305"/>
      <c r="Y269" s="305"/>
      <c r="Z269" s="305"/>
      <c r="AA269" s="305"/>
      <c r="AB269" s="305"/>
      <c r="AC269" s="305"/>
      <c r="AD269" s="305"/>
      <c r="AE269" s="305"/>
    </row>
    <row r="270" spans="1:31">
      <c r="A270" s="305"/>
      <c r="B270" s="305"/>
      <c r="C270" s="305"/>
      <c r="D270" s="305"/>
      <c r="E270" s="305"/>
      <c r="F270" s="305"/>
      <c r="G270" s="305"/>
      <c r="H270" s="305"/>
      <c r="I270" s="305"/>
      <c r="J270" s="305"/>
      <c r="K270" s="305"/>
      <c r="L270" s="305"/>
      <c r="M270" s="305"/>
      <c r="N270" s="305"/>
      <c r="O270" s="305"/>
      <c r="P270" s="305"/>
      <c r="Q270" s="305"/>
      <c r="R270" s="305"/>
      <c r="S270" s="305"/>
      <c r="T270" s="305"/>
      <c r="U270" s="305"/>
      <c r="V270" s="305"/>
      <c r="W270" s="305"/>
      <c r="X270" s="305"/>
      <c r="Y270" s="305"/>
      <c r="Z270" s="305"/>
      <c r="AA270" s="305"/>
      <c r="AB270" s="305"/>
      <c r="AC270" s="305"/>
      <c r="AD270" s="305"/>
      <c r="AE270" s="305"/>
    </row>
    <row r="271" spans="1:31">
      <c r="A271" s="305"/>
      <c r="B271" s="305"/>
      <c r="C271" s="305"/>
      <c r="D271" s="305"/>
      <c r="E271" s="305"/>
      <c r="F271" s="305"/>
      <c r="G271" s="305"/>
      <c r="H271" s="305"/>
      <c r="I271" s="305"/>
      <c r="J271" s="305"/>
      <c r="K271" s="305"/>
      <c r="L271" s="305"/>
      <c r="M271" s="305"/>
      <c r="N271" s="305"/>
      <c r="O271" s="305"/>
      <c r="P271" s="305"/>
      <c r="Q271" s="305"/>
      <c r="R271" s="305"/>
      <c r="S271" s="305"/>
      <c r="T271" s="305"/>
      <c r="U271" s="305"/>
      <c r="V271" s="305"/>
      <c r="W271" s="305"/>
      <c r="X271" s="305"/>
      <c r="Y271" s="305"/>
      <c r="Z271" s="305"/>
      <c r="AA271" s="305"/>
      <c r="AB271" s="305"/>
      <c r="AC271" s="305"/>
      <c r="AD271" s="305"/>
      <c r="AE271" s="305"/>
    </row>
    <row r="272" spans="1:31">
      <c r="A272" s="305"/>
      <c r="B272" s="305"/>
      <c r="C272" s="305"/>
      <c r="D272" s="305"/>
      <c r="E272" s="305"/>
      <c r="F272" s="305"/>
      <c r="G272" s="305"/>
      <c r="H272" s="305"/>
      <c r="I272" s="305"/>
      <c r="J272" s="305"/>
      <c r="K272" s="305"/>
      <c r="L272" s="305"/>
      <c r="M272" s="305"/>
      <c r="N272" s="305"/>
      <c r="O272" s="305"/>
      <c r="P272" s="305"/>
      <c r="Q272" s="305"/>
      <c r="R272" s="305"/>
      <c r="S272" s="305"/>
      <c r="T272" s="305"/>
      <c r="U272" s="305"/>
      <c r="V272" s="305"/>
      <c r="W272" s="305"/>
      <c r="X272" s="305"/>
      <c r="Y272" s="305"/>
      <c r="Z272" s="305"/>
      <c r="AA272" s="305"/>
      <c r="AB272" s="305"/>
      <c r="AC272" s="305"/>
      <c r="AD272" s="305"/>
      <c r="AE272" s="305"/>
    </row>
    <row r="273" spans="1:31">
      <c r="A273" s="305"/>
      <c r="B273" s="305"/>
      <c r="C273" s="305"/>
      <c r="D273" s="305"/>
      <c r="E273" s="305"/>
      <c r="F273" s="305"/>
      <c r="G273" s="305"/>
      <c r="H273" s="305"/>
      <c r="I273" s="305"/>
      <c r="J273" s="305"/>
      <c r="K273" s="305"/>
      <c r="L273" s="305"/>
      <c r="M273" s="305"/>
      <c r="N273" s="305"/>
      <c r="O273" s="305"/>
      <c r="P273" s="305"/>
      <c r="Q273" s="305"/>
      <c r="R273" s="305"/>
      <c r="S273" s="305"/>
      <c r="T273" s="305"/>
      <c r="U273" s="305"/>
      <c r="V273" s="305"/>
      <c r="W273" s="305"/>
      <c r="X273" s="305"/>
      <c r="Y273" s="305"/>
      <c r="Z273" s="305"/>
      <c r="AA273" s="305"/>
      <c r="AB273" s="305"/>
      <c r="AC273" s="305"/>
      <c r="AD273" s="305"/>
      <c r="AE273" s="305"/>
    </row>
    <row r="274" spans="1:31">
      <c r="A274" s="305"/>
      <c r="B274" s="305"/>
      <c r="C274" s="305"/>
      <c r="D274" s="305"/>
      <c r="E274" s="305"/>
      <c r="F274" s="305"/>
      <c r="G274" s="305"/>
      <c r="H274" s="305"/>
      <c r="I274" s="305"/>
      <c r="J274" s="305"/>
      <c r="K274" s="305"/>
      <c r="L274" s="305"/>
      <c r="M274" s="305"/>
      <c r="N274" s="305"/>
      <c r="O274" s="305"/>
      <c r="P274" s="305"/>
      <c r="Q274" s="305"/>
      <c r="R274" s="305"/>
      <c r="S274" s="305"/>
      <c r="T274" s="305"/>
      <c r="U274" s="305"/>
      <c r="V274" s="305"/>
      <c r="W274" s="305"/>
      <c r="X274" s="305"/>
      <c r="Y274" s="305"/>
      <c r="Z274" s="305"/>
      <c r="AA274" s="305"/>
      <c r="AB274" s="305"/>
      <c r="AC274" s="305"/>
      <c r="AD274" s="305"/>
      <c r="AE274" s="305"/>
    </row>
    <row r="275" spans="1:31">
      <c r="A275" s="305"/>
      <c r="B275" s="305"/>
      <c r="C275" s="305"/>
      <c r="D275" s="305"/>
      <c r="E275" s="305"/>
      <c r="F275" s="305"/>
      <c r="G275" s="305"/>
      <c r="H275" s="305"/>
      <c r="I275" s="305"/>
      <c r="J275" s="305"/>
      <c r="K275" s="305"/>
      <c r="L275" s="305"/>
      <c r="M275" s="305"/>
      <c r="N275" s="305"/>
      <c r="O275" s="305"/>
      <c r="P275" s="305"/>
      <c r="Q275" s="305"/>
      <c r="R275" s="305"/>
      <c r="S275" s="305"/>
      <c r="T275" s="305"/>
      <c r="U275" s="305"/>
      <c r="V275" s="305"/>
      <c r="W275" s="305"/>
      <c r="X275" s="305"/>
      <c r="Y275" s="305"/>
      <c r="Z275" s="305"/>
      <c r="AA275" s="305"/>
      <c r="AB275" s="305"/>
      <c r="AC275" s="305"/>
      <c r="AD275" s="305"/>
      <c r="AE275" s="305"/>
    </row>
    <row r="276" spans="1:31">
      <c r="A276" s="305"/>
      <c r="B276" s="305"/>
      <c r="C276" s="305"/>
      <c r="D276" s="305"/>
      <c r="E276" s="305"/>
      <c r="F276" s="305"/>
      <c r="G276" s="305"/>
      <c r="H276" s="305"/>
      <c r="I276" s="305"/>
      <c r="J276" s="305"/>
      <c r="K276" s="305"/>
      <c r="L276" s="305"/>
      <c r="M276" s="305"/>
      <c r="N276" s="305"/>
      <c r="O276" s="305"/>
      <c r="P276" s="305"/>
      <c r="Q276" s="305"/>
      <c r="R276" s="305"/>
      <c r="S276" s="305"/>
      <c r="T276" s="305"/>
      <c r="U276" s="305"/>
      <c r="V276" s="305"/>
      <c r="W276" s="305"/>
      <c r="X276" s="305"/>
      <c r="Y276" s="305"/>
      <c r="Z276" s="305"/>
      <c r="AA276" s="305"/>
      <c r="AB276" s="305"/>
      <c r="AC276" s="305"/>
      <c r="AD276" s="305"/>
      <c r="AE276" s="305"/>
    </row>
    <row r="277" spans="1:31">
      <c r="A277" s="305"/>
      <c r="B277" s="305"/>
      <c r="C277" s="305"/>
      <c r="D277" s="305"/>
      <c r="E277" s="305"/>
      <c r="F277" s="305"/>
      <c r="G277" s="305"/>
      <c r="H277" s="305"/>
      <c r="I277" s="305"/>
      <c r="J277" s="305"/>
      <c r="K277" s="305"/>
      <c r="L277" s="305"/>
      <c r="M277" s="305"/>
      <c r="N277" s="305"/>
      <c r="O277" s="305"/>
      <c r="P277" s="305"/>
      <c r="Q277" s="305"/>
      <c r="R277" s="305"/>
      <c r="S277" s="305"/>
      <c r="T277" s="305"/>
      <c r="U277" s="305"/>
      <c r="V277" s="305"/>
      <c r="W277" s="305"/>
      <c r="X277" s="305"/>
      <c r="Y277" s="305"/>
      <c r="Z277" s="305"/>
      <c r="AA277" s="305"/>
      <c r="AB277" s="305"/>
      <c r="AC277" s="305"/>
      <c r="AD277" s="305"/>
      <c r="AE277" s="305"/>
    </row>
    <row r="278" spans="1:31">
      <c r="A278" s="305"/>
      <c r="B278" s="305"/>
      <c r="C278" s="305"/>
      <c r="D278" s="305"/>
      <c r="E278" s="305"/>
      <c r="F278" s="305"/>
      <c r="G278" s="305"/>
      <c r="H278" s="305"/>
      <c r="I278" s="305"/>
      <c r="J278" s="305"/>
      <c r="K278" s="305"/>
      <c r="L278" s="305"/>
      <c r="M278" s="305"/>
      <c r="N278" s="305"/>
      <c r="O278" s="305"/>
      <c r="P278" s="305"/>
      <c r="Q278" s="305"/>
      <c r="R278" s="305"/>
      <c r="S278" s="305"/>
      <c r="T278" s="305"/>
      <c r="U278" s="305"/>
      <c r="V278" s="305"/>
      <c r="W278" s="305"/>
      <c r="X278" s="305"/>
      <c r="Y278" s="305"/>
      <c r="Z278" s="305"/>
      <c r="AA278" s="305"/>
      <c r="AB278" s="305"/>
      <c r="AC278" s="305"/>
      <c r="AD278" s="305"/>
      <c r="AE278" s="305"/>
    </row>
    <row r="279" spans="1:31">
      <c r="A279" s="305"/>
      <c r="B279" s="305"/>
      <c r="C279" s="305"/>
      <c r="D279" s="305"/>
      <c r="E279" s="305"/>
      <c r="F279" s="305"/>
      <c r="G279" s="305"/>
      <c r="H279" s="305"/>
      <c r="I279" s="305"/>
      <c r="J279" s="305"/>
      <c r="K279" s="305"/>
      <c r="L279" s="305"/>
      <c r="M279" s="305"/>
      <c r="N279" s="305"/>
      <c r="O279" s="305"/>
      <c r="P279" s="305"/>
      <c r="Q279" s="305"/>
      <c r="R279" s="305"/>
      <c r="S279" s="305"/>
      <c r="T279" s="305"/>
      <c r="U279" s="305"/>
      <c r="V279" s="305"/>
      <c r="W279" s="305"/>
      <c r="X279" s="305"/>
      <c r="Y279" s="305"/>
      <c r="Z279" s="305"/>
      <c r="AA279" s="305"/>
      <c r="AB279" s="305"/>
      <c r="AC279" s="305"/>
      <c r="AD279" s="305"/>
      <c r="AE279" s="305"/>
    </row>
    <row r="280" spans="1:31">
      <c r="A280" s="305"/>
      <c r="B280" s="305"/>
      <c r="C280" s="305"/>
      <c r="D280" s="305"/>
      <c r="E280" s="305"/>
      <c r="F280" s="305"/>
      <c r="G280" s="305"/>
      <c r="H280" s="305"/>
      <c r="I280" s="305"/>
      <c r="J280" s="305"/>
      <c r="K280" s="305"/>
      <c r="L280" s="305"/>
      <c r="M280" s="305"/>
      <c r="N280" s="305"/>
      <c r="O280" s="305"/>
      <c r="P280" s="305"/>
      <c r="Q280" s="305"/>
      <c r="R280" s="305"/>
      <c r="S280" s="305"/>
      <c r="T280" s="305"/>
      <c r="U280" s="305"/>
      <c r="V280" s="305"/>
      <c r="W280" s="305"/>
      <c r="X280" s="305"/>
      <c r="Y280" s="305"/>
      <c r="Z280" s="305"/>
      <c r="AA280" s="305"/>
      <c r="AB280" s="305"/>
      <c r="AC280" s="305"/>
      <c r="AD280" s="305"/>
      <c r="AE280" s="305"/>
    </row>
    <row r="281" spans="1:31">
      <c r="A281" s="305"/>
      <c r="B281" s="305"/>
      <c r="C281" s="305"/>
      <c r="D281" s="305"/>
      <c r="E281" s="305"/>
      <c r="F281" s="305"/>
      <c r="G281" s="305"/>
      <c r="H281" s="305"/>
      <c r="I281" s="305"/>
      <c r="J281" s="305"/>
      <c r="K281" s="305"/>
      <c r="L281" s="305"/>
      <c r="M281" s="305"/>
      <c r="N281" s="305"/>
      <c r="O281" s="305"/>
      <c r="P281" s="305"/>
      <c r="Q281" s="305"/>
      <c r="R281" s="305"/>
      <c r="S281" s="305"/>
      <c r="T281" s="305"/>
      <c r="U281" s="305"/>
      <c r="V281" s="305"/>
      <c r="W281" s="305"/>
      <c r="X281" s="305"/>
      <c r="Y281" s="305"/>
      <c r="Z281" s="305"/>
      <c r="AA281" s="305"/>
      <c r="AB281" s="305"/>
      <c r="AC281" s="305"/>
      <c r="AD281" s="305"/>
      <c r="AE281" s="305"/>
    </row>
    <row r="282" spans="1:31">
      <c r="A282" s="305"/>
      <c r="B282" s="305"/>
      <c r="C282" s="305"/>
      <c r="D282" s="305"/>
      <c r="E282" s="305"/>
      <c r="F282" s="305"/>
      <c r="G282" s="305"/>
      <c r="H282" s="305"/>
      <c r="I282" s="305"/>
      <c r="J282" s="305"/>
      <c r="K282" s="305"/>
      <c r="L282" s="305"/>
      <c r="M282" s="305"/>
      <c r="N282" s="305"/>
      <c r="O282" s="305"/>
      <c r="P282" s="305"/>
      <c r="Q282" s="305"/>
      <c r="R282" s="305"/>
      <c r="S282" s="305"/>
      <c r="T282" s="305"/>
      <c r="U282" s="305"/>
      <c r="V282" s="305"/>
      <c r="W282" s="305"/>
      <c r="X282" s="305"/>
      <c r="Y282" s="305"/>
      <c r="Z282" s="305"/>
      <c r="AA282" s="305"/>
      <c r="AB282" s="305"/>
      <c r="AC282" s="305"/>
      <c r="AD282" s="305"/>
      <c r="AE282" s="305"/>
    </row>
    <row r="283" spans="1:31">
      <c r="A283" s="305"/>
      <c r="B283" s="305"/>
      <c r="C283" s="305"/>
      <c r="D283" s="305"/>
      <c r="E283" s="305"/>
      <c r="F283" s="305"/>
      <c r="G283" s="305"/>
      <c r="H283" s="305"/>
      <c r="I283" s="305"/>
      <c r="J283" s="305"/>
      <c r="K283" s="305"/>
      <c r="L283" s="305"/>
      <c r="M283" s="305"/>
      <c r="N283" s="305"/>
      <c r="O283" s="305"/>
      <c r="P283" s="305"/>
      <c r="Q283" s="305"/>
      <c r="R283" s="305"/>
      <c r="S283" s="305"/>
      <c r="T283" s="305"/>
      <c r="U283" s="305"/>
      <c r="V283" s="305"/>
      <c r="W283" s="305"/>
      <c r="X283" s="305"/>
      <c r="Y283" s="305"/>
      <c r="Z283" s="305"/>
      <c r="AA283" s="305"/>
      <c r="AB283" s="305"/>
      <c r="AC283" s="305"/>
      <c r="AD283" s="305"/>
      <c r="AE283" s="305"/>
    </row>
    <row r="284" spans="1:31">
      <c r="A284" s="305"/>
      <c r="B284" s="305"/>
      <c r="C284" s="305"/>
      <c r="D284" s="305"/>
      <c r="E284" s="305"/>
      <c r="F284" s="305"/>
      <c r="G284" s="305"/>
      <c r="H284" s="305"/>
      <c r="I284" s="305"/>
      <c r="J284" s="305"/>
      <c r="K284" s="305"/>
      <c r="L284" s="305"/>
      <c r="M284" s="305"/>
      <c r="N284" s="305"/>
      <c r="O284" s="305"/>
      <c r="P284" s="305"/>
      <c r="Q284" s="305"/>
      <c r="R284" s="305"/>
      <c r="S284" s="305"/>
      <c r="T284" s="305"/>
      <c r="U284" s="305"/>
      <c r="V284" s="305"/>
      <c r="W284" s="305"/>
      <c r="X284" s="305"/>
      <c r="Y284" s="305"/>
      <c r="Z284" s="305"/>
      <c r="AA284" s="305"/>
      <c r="AB284" s="305"/>
      <c r="AC284" s="305"/>
      <c r="AD284" s="305"/>
      <c r="AE284" s="305"/>
    </row>
    <row r="285" spans="1:31">
      <c r="A285" s="305"/>
      <c r="B285" s="305"/>
      <c r="C285" s="305"/>
      <c r="D285" s="305"/>
      <c r="E285" s="305"/>
      <c r="F285" s="305"/>
      <c r="G285" s="305"/>
      <c r="H285" s="305"/>
      <c r="I285" s="305"/>
      <c r="J285" s="305"/>
      <c r="K285" s="305"/>
      <c r="L285" s="305"/>
      <c r="M285" s="305"/>
      <c r="N285" s="305"/>
      <c r="O285" s="305"/>
      <c r="P285" s="305"/>
      <c r="Q285" s="305"/>
      <c r="R285" s="305"/>
      <c r="S285" s="305"/>
      <c r="T285" s="305"/>
      <c r="U285" s="305"/>
      <c r="V285" s="305"/>
      <c r="W285" s="305"/>
      <c r="X285" s="305"/>
      <c r="Y285" s="305"/>
      <c r="Z285" s="305"/>
      <c r="AA285" s="305"/>
      <c r="AB285" s="305"/>
      <c r="AC285" s="305"/>
      <c r="AD285" s="305"/>
      <c r="AE285" s="305"/>
    </row>
    <row r="286" spans="1:31">
      <c r="A286" s="305"/>
      <c r="B286" s="305"/>
      <c r="C286" s="305"/>
      <c r="D286" s="305"/>
      <c r="E286" s="305"/>
      <c r="F286" s="305"/>
      <c r="G286" s="305"/>
      <c r="H286" s="305"/>
      <c r="I286" s="305"/>
      <c r="J286" s="305"/>
      <c r="K286" s="305"/>
      <c r="L286" s="305"/>
      <c r="M286" s="305"/>
      <c r="N286" s="305"/>
      <c r="O286" s="305"/>
      <c r="P286" s="305"/>
      <c r="Q286" s="305"/>
      <c r="R286" s="305"/>
      <c r="S286" s="305"/>
      <c r="T286" s="305"/>
      <c r="U286" s="305"/>
      <c r="V286" s="305"/>
      <c r="W286" s="305"/>
      <c r="X286" s="305"/>
      <c r="Y286" s="305"/>
      <c r="Z286" s="305"/>
      <c r="AA286" s="305"/>
      <c r="AB286" s="305"/>
      <c r="AC286" s="305"/>
      <c r="AD286" s="305"/>
      <c r="AE286" s="305"/>
    </row>
    <row r="287" spans="1:31">
      <c r="A287" s="305"/>
      <c r="B287" s="305"/>
      <c r="C287" s="305"/>
      <c r="D287" s="305"/>
      <c r="E287" s="305"/>
      <c r="F287" s="305"/>
      <c r="G287" s="305"/>
      <c r="H287" s="305"/>
      <c r="I287" s="305"/>
      <c r="J287" s="305"/>
      <c r="K287" s="305"/>
      <c r="L287" s="305"/>
      <c r="M287" s="305"/>
      <c r="N287" s="305"/>
      <c r="O287" s="305"/>
      <c r="P287" s="305"/>
      <c r="Q287" s="305"/>
      <c r="R287" s="305"/>
      <c r="S287" s="305"/>
      <c r="T287" s="305"/>
      <c r="U287" s="305"/>
      <c r="V287" s="305"/>
      <c r="W287" s="305"/>
      <c r="X287" s="305"/>
      <c r="Y287" s="305"/>
      <c r="Z287" s="305"/>
      <c r="AA287" s="305"/>
      <c r="AB287" s="305"/>
      <c r="AC287" s="305"/>
      <c r="AD287" s="305"/>
      <c r="AE287" s="305"/>
    </row>
    <row r="288" spans="1:31">
      <c r="A288" s="305"/>
      <c r="B288" s="305"/>
      <c r="C288" s="305"/>
      <c r="D288" s="305"/>
      <c r="E288" s="305"/>
      <c r="F288" s="305"/>
      <c r="G288" s="305"/>
      <c r="H288" s="305"/>
      <c r="I288" s="305"/>
      <c r="J288" s="305"/>
      <c r="K288" s="305"/>
      <c r="L288" s="305"/>
      <c r="M288" s="305"/>
      <c r="N288" s="305"/>
      <c r="O288" s="305"/>
      <c r="P288" s="305"/>
      <c r="Q288" s="305"/>
      <c r="R288" s="305"/>
      <c r="S288" s="305"/>
      <c r="T288" s="305"/>
      <c r="U288" s="305"/>
      <c r="V288" s="305"/>
      <c r="W288" s="305"/>
      <c r="X288" s="305"/>
      <c r="Y288" s="305"/>
      <c r="Z288" s="305"/>
      <c r="AA288" s="305"/>
      <c r="AB288" s="305"/>
      <c r="AC288" s="305"/>
      <c r="AD288" s="305"/>
      <c r="AE288" s="305"/>
    </row>
    <row r="289" spans="1:31">
      <c r="A289" s="305"/>
      <c r="B289" s="305"/>
      <c r="C289" s="305"/>
      <c r="D289" s="305"/>
      <c r="E289" s="305"/>
      <c r="F289" s="305"/>
      <c r="G289" s="305"/>
      <c r="H289" s="305"/>
      <c r="I289" s="305"/>
      <c r="J289" s="305"/>
      <c r="K289" s="305"/>
      <c r="L289" s="305"/>
      <c r="M289" s="305"/>
      <c r="N289" s="305"/>
      <c r="O289" s="305"/>
      <c r="P289" s="305"/>
      <c r="Q289" s="305"/>
      <c r="R289" s="305"/>
      <c r="S289" s="305"/>
      <c r="T289" s="305"/>
      <c r="U289" s="305"/>
      <c r="V289" s="305"/>
      <c r="W289" s="305"/>
      <c r="X289" s="305"/>
      <c r="Y289" s="305"/>
      <c r="Z289" s="305"/>
      <c r="AA289" s="305"/>
      <c r="AB289" s="305"/>
      <c r="AC289" s="305"/>
      <c r="AD289" s="305"/>
      <c r="AE289" s="305"/>
    </row>
    <row r="290" spans="1:31">
      <c r="A290" s="305"/>
      <c r="B290" s="305"/>
      <c r="C290" s="305"/>
      <c r="D290" s="305"/>
      <c r="E290" s="305"/>
      <c r="F290" s="305"/>
      <c r="G290" s="305"/>
      <c r="H290" s="305"/>
      <c r="I290" s="305"/>
      <c r="J290" s="305"/>
      <c r="K290" s="305"/>
      <c r="L290" s="305"/>
      <c r="M290" s="305"/>
      <c r="N290" s="305"/>
      <c r="O290" s="305"/>
      <c r="P290" s="305"/>
      <c r="Q290" s="305"/>
      <c r="R290" s="305"/>
      <c r="S290" s="305"/>
      <c r="T290" s="305"/>
      <c r="U290" s="305"/>
      <c r="V290" s="305"/>
      <c r="W290" s="305"/>
      <c r="X290" s="305"/>
      <c r="Y290" s="305"/>
      <c r="Z290" s="305"/>
      <c r="AA290" s="305"/>
      <c r="AB290" s="305"/>
      <c r="AC290" s="305"/>
      <c r="AD290" s="305"/>
      <c r="AE290" s="305"/>
    </row>
    <row r="291" spans="1:31">
      <c r="A291" s="305"/>
      <c r="B291" s="305"/>
      <c r="C291" s="305"/>
      <c r="D291" s="305"/>
      <c r="E291" s="305"/>
      <c r="F291" s="305"/>
      <c r="G291" s="305"/>
      <c r="H291" s="305"/>
      <c r="I291" s="305"/>
      <c r="J291" s="305"/>
      <c r="K291" s="305"/>
      <c r="L291" s="305"/>
      <c r="M291" s="305"/>
      <c r="N291" s="305"/>
      <c r="O291" s="305"/>
      <c r="P291" s="305"/>
      <c r="Q291" s="305"/>
      <c r="R291" s="305"/>
      <c r="S291" s="305"/>
      <c r="T291" s="305"/>
      <c r="U291" s="305"/>
      <c r="V291" s="305"/>
      <c r="W291" s="305"/>
      <c r="X291" s="305"/>
      <c r="Y291" s="305"/>
      <c r="Z291" s="305"/>
      <c r="AA291" s="305"/>
      <c r="AB291" s="305"/>
      <c r="AC291" s="305"/>
      <c r="AD291" s="305"/>
      <c r="AE291" s="305"/>
    </row>
    <row r="292" spans="1:31">
      <c r="A292" s="305"/>
      <c r="B292" s="305"/>
      <c r="C292" s="305"/>
      <c r="D292" s="305"/>
      <c r="E292" s="305"/>
      <c r="F292" s="305"/>
      <c r="G292" s="305"/>
      <c r="H292" s="305"/>
      <c r="I292" s="305"/>
      <c r="J292" s="305"/>
      <c r="K292" s="305"/>
      <c r="L292" s="305"/>
      <c r="M292" s="305"/>
      <c r="N292" s="305"/>
      <c r="O292" s="305"/>
      <c r="P292" s="305"/>
      <c r="Q292" s="305"/>
      <c r="R292" s="305"/>
      <c r="S292" s="305"/>
      <c r="T292" s="305"/>
      <c r="U292" s="305"/>
      <c r="V292" s="305"/>
      <c r="W292" s="305"/>
      <c r="X292" s="305"/>
      <c r="Y292" s="305"/>
      <c r="Z292" s="305"/>
      <c r="AA292" s="305"/>
      <c r="AB292" s="305"/>
      <c r="AC292" s="305"/>
      <c r="AD292" s="305"/>
      <c r="AE292" s="305"/>
    </row>
    <row r="293" spans="1:31">
      <c r="A293" s="305"/>
      <c r="B293" s="305"/>
      <c r="C293" s="305"/>
      <c r="D293" s="305"/>
      <c r="E293" s="305"/>
      <c r="F293" s="305"/>
      <c r="G293" s="305"/>
      <c r="H293" s="305"/>
      <c r="I293" s="305"/>
      <c r="J293" s="305"/>
      <c r="K293" s="305"/>
      <c r="L293" s="305"/>
      <c r="M293" s="305"/>
      <c r="N293" s="305"/>
      <c r="O293" s="305"/>
      <c r="P293" s="305"/>
      <c r="Q293" s="305"/>
      <c r="R293" s="305"/>
      <c r="S293" s="305"/>
      <c r="T293" s="305"/>
      <c r="U293" s="305"/>
      <c r="V293" s="305"/>
      <c r="W293" s="305"/>
      <c r="X293" s="305"/>
      <c r="Y293" s="305"/>
      <c r="Z293" s="305"/>
      <c r="AA293" s="305"/>
      <c r="AB293" s="305"/>
      <c r="AC293" s="305"/>
      <c r="AD293" s="305"/>
      <c r="AE293" s="305"/>
    </row>
    <row r="294" spans="1:31">
      <c r="A294" s="305"/>
      <c r="B294" s="305"/>
      <c r="C294" s="305"/>
      <c r="D294" s="305"/>
      <c r="E294" s="305"/>
      <c r="F294" s="305"/>
      <c r="G294" s="305"/>
      <c r="H294" s="305"/>
      <c r="I294" s="305"/>
      <c r="J294" s="305"/>
      <c r="K294" s="305"/>
      <c r="L294" s="305"/>
      <c r="M294" s="305"/>
      <c r="N294" s="305"/>
      <c r="O294" s="305"/>
      <c r="P294" s="305"/>
      <c r="Q294" s="305"/>
      <c r="R294" s="305"/>
      <c r="S294" s="305"/>
      <c r="T294" s="305"/>
      <c r="U294" s="305"/>
      <c r="V294" s="305"/>
      <c r="W294" s="305"/>
      <c r="X294" s="305"/>
      <c r="Y294" s="305"/>
      <c r="Z294" s="305"/>
      <c r="AA294" s="305"/>
      <c r="AB294" s="305"/>
      <c r="AC294" s="305"/>
      <c r="AD294" s="305"/>
      <c r="AE294" s="305"/>
    </row>
    <row r="295" spans="1:31">
      <c r="A295" s="305"/>
      <c r="B295" s="305"/>
      <c r="C295" s="305"/>
      <c r="D295" s="305"/>
      <c r="E295" s="305"/>
      <c r="F295" s="305"/>
      <c r="G295" s="305"/>
      <c r="H295" s="305"/>
      <c r="I295" s="305"/>
      <c r="J295" s="305"/>
      <c r="K295" s="305"/>
      <c r="L295" s="305"/>
      <c r="M295" s="305"/>
      <c r="N295" s="305"/>
      <c r="O295" s="305"/>
      <c r="P295" s="305"/>
      <c r="Q295" s="305"/>
      <c r="R295" s="305"/>
      <c r="S295" s="305"/>
      <c r="T295" s="305"/>
      <c r="U295" s="305"/>
      <c r="V295" s="305"/>
      <c r="W295" s="305"/>
      <c r="X295" s="305"/>
      <c r="Y295" s="305"/>
      <c r="Z295" s="305"/>
      <c r="AA295" s="305"/>
      <c r="AB295" s="305"/>
      <c r="AC295" s="305"/>
      <c r="AD295" s="305"/>
      <c r="AE295" s="305"/>
    </row>
    <row r="296" spans="1:31">
      <c r="A296" s="305"/>
      <c r="B296" s="305"/>
      <c r="C296" s="305"/>
      <c r="D296" s="305"/>
      <c r="E296" s="305"/>
      <c r="F296" s="305"/>
      <c r="G296" s="305"/>
      <c r="H296" s="305"/>
      <c r="I296" s="305"/>
      <c r="J296" s="305"/>
      <c r="K296" s="305"/>
      <c r="L296" s="305"/>
      <c r="M296" s="305"/>
      <c r="N296" s="305"/>
      <c r="O296" s="305"/>
      <c r="P296" s="305"/>
      <c r="Q296" s="305"/>
      <c r="R296" s="305"/>
      <c r="S296" s="305"/>
      <c r="T296" s="305"/>
      <c r="U296" s="305"/>
      <c r="V296" s="305"/>
      <c r="W296" s="305"/>
      <c r="X296" s="305"/>
      <c r="Y296" s="305"/>
      <c r="Z296" s="305"/>
      <c r="AA296" s="305"/>
      <c r="AB296" s="305"/>
      <c r="AC296" s="305"/>
      <c r="AD296" s="305"/>
      <c r="AE296" s="305"/>
    </row>
    <row r="297" spans="1:31">
      <c r="A297" s="305"/>
      <c r="B297" s="305"/>
      <c r="C297" s="305"/>
      <c r="D297" s="305"/>
      <c r="E297" s="305"/>
      <c r="F297" s="305"/>
      <c r="G297" s="305"/>
      <c r="H297" s="305"/>
      <c r="I297" s="305"/>
      <c r="J297" s="305"/>
      <c r="K297" s="305"/>
      <c r="L297" s="305"/>
      <c r="M297" s="305"/>
      <c r="N297" s="305"/>
      <c r="O297" s="305"/>
      <c r="P297" s="305"/>
      <c r="Q297" s="305"/>
      <c r="R297" s="305"/>
      <c r="S297" s="305"/>
      <c r="T297" s="305"/>
      <c r="U297" s="305"/>
      <c r="V297" s="305"/>
      <c r="W297" s="305"/>
      <c r="X297" s="305"/>
      <c r="Y297" s="305"/>
      <c r="Z297" s="305"/>
      <c r="AA297" s="305"/>
      <c r="AB297" s="305"/>
      <c r="AC297" s="305"/>
      <c r="AD297" s="305"/>
      <c r="AE297" s="305"/>
    </row>
    <row r="298" spans="1:31">
      <c r="A298" s="305"/>
      <c r="B298" s="305"/>
      <c r="C298" s="305"/>
      <c r="D298" s="305"/>
      <c r="E298" s="305"/>
      <c r="F298" s="305"/>
      <c r="G298" s="305"/>
      <c r="H298" s="305"/>
      <c r="I298" s="305"/>
      <c r="J298" s="305"/>
      <c r="K298" s="305"/>
      <c r="L298" s="305"/>
      <c r="M298" s="305"/>
      <c r="N298" s="305"/>
      <c r="O298" s="305"/>
      <c r="P298" s="305"/>
      <c r="Q298" s="305"/>
      <c r="R298" s="305"/>
      <c r="S298" s="305"/>
      <c r="T298" s="305"/>
      <c r="U298" s="305"/>
      <c r="V298" s="305"/>
      <c r="W298" s="305"/>
      <c r="X298" s="305"/>
      <c r="Y298" s="305"/>
      <c r="Z298" s="305"/>
      <c r="AA298" s="305"/>
      <c r="AB298" s="305"/>
      <c r="AC298" s="305"/>
      <c r="AD298" s="305"/>
      <c r="AE298" s="305"/>
    </row>
    <row r="299" spans="1:31">
      <c r="A299" s="305"/>
      <c r="B299" s="305"/>
      <c r="C299" s="305"/>
      <c r="D299" s="305"/>
      <c r="E299" s="305"/>
      <c r="F299" s="305"/>
      <c r="G299" s="305"/>
      <c r="H299" s="305"/>
      <c r="I299" s="305"/>
      <c r="J299" s="305"/>
      <c r="K299" s="305"/>
      <c r="L299" s="305"/>
      <c r="M299" s="305"/>
      <c r="N299" s="305"/>
      <c r="O299" s="305"/>
      <c r="P299" s="305"/>
      <c r="Q299" s="305"/>
      <c r="R299" s="305"/>
      <c r="S299" s="305"/>
      <c r="T299" s="305"/>
      <c r="U299" s="305"/>
      <c r="V299" s="305"/>
      <c r="W299" s="305"/>
      <c r="X299" s="305"/>
      <c r="Y299" s="305"/>
      <c r="Z299" s="305"/>
      <c r="AA299" s="305"/>
      <c r="AB299" s="305"/>
      <c r="AC299" s="305"/>
      <c r="AD299" s="305"/>
      <c r="AE299" s="305"/>
    </row>
    <row r="300" spans="1:31">
      <c r="A300" s="305"/>
      <c r="B300" s="305"/>
      <c r="C300" s="305"/>
      <c r="D300" s="305"/>
      <c r="E300" s="305"/>
      <c r="F300" s="305"/>
      <c r="G300" s="305"/>
      <c r="H300" s="305"/>
      <c r="I300" s="305"/>
      <c r="J300" s="305"/>
      <c r="K300" s="305"/>
      <c r="L300" s="305"/>
      <c r="M300" s="305"/>
      <c r="N300" s="305"/>
      <c r="O300" s="305"/>
      <c r="P300" s="305"/>
      <c r="Q300" s="305"/>
      <c r="R300" s="305"/>
      <c r="S300" s="305"/>
      <c r="T300" s="305"/>
      <c r="U300" s="305"/>
      <c r="V300" s="305"/>
      <c r="W300" s="305"/>
      <c r="X300" s="305"/>
      <c r="Y300" s="305"/>
      <c r="Z300" s="305"/>
      <c r="AA300" s="305"/>
      <c r="AB300" s="305"/>
      <c r="AC300" s="305"/>
      <c r="AD300" s="305"/>
      <c r="AE300" s="305"/>
    </row>
    <row r="301" spans="1:31">
      <c r="A301" s="305"/>
      <c r="B301" s="305"/>
      <c r="C301" s="305"/>
      <c r="D301" s="305"/>
      <c r="E301" s="305"/>
      <c r="F301" s="305"/>
      <c r="G301" s="305"/>
      <c r="H301" s="305"/>
      <c r="I301" s="305"/>
      <c r="J301" s="305"/>
      <c r="K301" s="305"/>
      <c r="L301" s="305"/>
      <c r="M301" s="305"/>
      <c r="N301" s="305"/>
      <c r="O301" s="305"/>
      <c r="P301" s="305"/>
      <c r="Q301" s="305"/>
      <c r="R301" s="305"/>
      <c r="S301" s="305"/>
      <c r="T301" s="305"/>
      <c r="U301" s="305"/>
      <c r="V301" s="305"/>
      <c r="W301" s="305"/>
      <c r="X301" s="305"/>
      <c r="Y301" s="305"/>
      <c r="Z301" s="305"/>
      <c r="AA301" s="305"/>
      <c r="AB301" s="305"/>
      <c r="AC301" s="305"/>
      <c r="AD301" s="305"/>
      <c r="AE301" s="305"/>
    </row>
    <row r="302" spans="1:31">
      <c r="A302" s="305"/>
      <c r="B302" s="305"/>
      <c r="C302" s="305"/>
      <c r="D302" s="305"/>
      <c r="E302" s="305"/>
      <c r="F302" s="305"/>
      <c r="G302" s="305"/>
      <c r="H302" s="305"/>
      <c r="I302" s="305"/>
      <c r="J302" s="305"/>
      <c r="K302" s="305"/>
      <c r="L302" s="305"/>
      <c r="M302" s="305"/>
      <c r="N302" s="305"/>
      <c r="O302" s="305"/>
      <c r="P302" s="305"/>
      <c r="Q302" s="305"/>
      <c r="R302" s="305"/>
      <c r="S302" s="305"/>
      <c r="T302" s="305"/>
      <c r="U302" s="305"/>
      <c r="V302" s="305"/>
      <c r="W302" s="305"/>
      <c r="X302" s="305"/>
      <c r="Y302" s="305"/>
      <c r="Z302" s="305"/>
      <c r="AA302" s="305"/>
      <c r="AB302" s="305"/>
      <c r="AC302" s="305"/>
      <c r="AD302" s="305"/>
      <c r="AE302" s="305"/>
    </row>
    <row r="303" spans="1:31">
      <c r="A303" s="305"/>
      <c r="B303" s="305"/>
      <c r="C303" s="305"/>
      <c r="D303" s="305"/>
      <c r="E303" s="305"/>
      <c r="F303" s="305"/>
      <c r="G303" s="305"/>
      <c r="H303" s="305"/>
      <c r="I303" s="305"/>
      <c r="J303" s="305"/>
      <c r="K303" s="305"/>
      <c r="L303" s="305"/>
      <c r="M303" s="305"/>
      <c r="N303" s="305"/>
      <c r="O303" s="305"/>
      <c r="P303" s="305"/>
      <c r="Q303" s="305"/>
      <c r="R303" s="305"/>
      <c r="S303" s="305"/>
      <c r="T303" s="305"/>
      <c r="U303" s="305"/>
      <c r="V303" s="305"/>
      <c r="W303" s="305"/>
      <c r="X303" s="305"/>
      <c r="Y303" s="305"/>
      <c r="Z303" s="305"/>
      <c r="AA303" s="305"/>
      <c r="AB303" s="305"/>
      <c r="AC303" s="305"/>
      <c r="AD303" s="305"/>
      <c r="AE303" s="305"/>
    </row>
    <row r="304" spans="1:31">
      <c r="A304" s="305"/>
      <c r="B304" s="305"/>
      <c r="C304" s="305"/>
      <c r="D304" s="305"/>
      <c r="E304" s="305"/>
      <c r="F304" s="305"/>
      <c r="G304" s="305"/>
      <c r="H304" s="305"/>
      <c r="I304" s="305"/>
      <c r="J304" s="305"/>
      <c r="K304" s="305"/>
      <c r="L304" s="305"/>
      <c r="M304" s="305"/>
      <c r="N304" s="305"/>
      <c r="O304" s="305"/>
      <c r="P304" s="305"/>
      <c r="Q304" s="305"/>
      <c r="R304" s="305"/>
      <c r="S304" s="305"/>
      <c r="T304" s="305"/>
      <c r="U304" s="305"/>
      <c r="V304" s="305"/>
      <c r="W304" s="305"/>
      <c r="X304" s="305"/>
      <c r="Y304" s="305"/>
      <c r="Z304" s="305"/>
      <c r="AA304" s="305"/>
      <c r="AB304" s="305"/>
      <c r="AC304" s="305"/>
      <c r="AD304" s="305"/>
      <c r="AE304" s="305"/>
    </row>
    <row r="305" spans="1:31">
      <c r="A305" s="305"/>
      <c r="B305" s="305"/>
      <c r="C305" s="305"/>
      <c r="D305" s="305"/>
      <c r="E305" s="305"/>
      <c r="F305" s="305"/>
      <c r="G305" s="305"/>
      <c r="H305" s="305"/>
      <c r="I305" s="305"/>
      <c r="J305" s="305"/>
      <c r="K305" s="305"/>
      <c r="L305" s="305"/>
      <c r="M305" s="305"/>
      <c r="N305" s="305"/>
      <c r="O305" s="305"/>
      <c r="P305" s="305"/>
      <c r="Q305" s="305"/>
      <c r="R305" s="305"/>
      <c r="S305" s="305"/>
      <c r="T305" s="305"/>
      <c r="U305" s="305"/>
      <c r="V305" s="305"/>
      <c r="W305" s="305"/>
      <c r="X305" s="305"/>
      <c r="Y305" s="305"/>
      <c r="Z305" s="305"/>
      <c r="AA305" s="305"/>
      <c r="AB305" s="305"/>
      <c r="AC305" s="305"/>
      <c r="AD305" s="305"/>
      <c r="AE305" s="305"/>
    </row>
    <row r="306" spans="1:31">
      <c r="A306" s="305"/>
      <c r="B306" s="305"/>
      <c r="C306" s="305"/>
      <c r="D306" s="305"/>
      <c r="E306" s="305"/>
      <c r="F306" s="305"/>
      <c r="G306" s="305"/>
      <c r="H306" s="305"/>
      <c r="I306" s="305"/>
      <c r="J306" s="305"/>
      <c r="K306" s="305"/>
      <c r="L306" s="305"/>
      <c r="M306" s="305"/>
      <c r="N306" s="305"/>
      <c r="O306" s="305"/>
      <c r="P306" s="305"/>
      <c r="Q306" s="305"/>
      <c r="R306" s="305"/>
      <c r="S306" s="305"/>
      <c r="T306" s="305"/>
      <c r="U306" s="305"/>
      <c r="V306" s="305"/>
      <c r="W306" s="305"/>
      <c r="X306" s="305"/>
      <c r="Y306" s="305"/>
      <c r="Z306" s="305"/>
      <c r="AA306" s="305"/>
      <c r="AB306" s="305"/>
      <c r="AC306" s="305"/>
      <c r="AD306" s="305"/>
      <c r="AE306" s="305"/>
    </row>
    <row r="307" spans="1:31">
      <c r="A307" s="305"/>
      <c r="B307" s="305"/>
      <c r="C307" s="305"/>
      <c r="D307" s="305"/>
      <c r="E307" s="305"/>
      <c r="F307" s="305"/>
      <c r="G307" s="305"/>
      <c r="H307" s="305"/>
      <c r="I307" s="305"/>
      <c r="J307" s="305"/>
      <c r="K307" s="305"/>
      <c r="L307" s="305"/>
      <c r="M307" s="305"/>
      <c r="N307" s="305"/>
      <c r="O307" s="305"/>
      <c r="P307" s="305"/>
      <c r="Q307" s="305"/>
      <c r="R307" s="305"/>
      <c r="S307" s="305"/>
      <c r="T307" s="305"/>
      <c r="U307" s="305"/>
      <c r="V307" s="305"/>
      <c r="W307" s="305"/>
      <c r="X307" s="305"/>
      <c r="Y307" s="305"/>
      <c r="Z307" s="305"/>
      <c r="AA307" s="305"/>
      <c r="AB307" s="305"/>
      <c r="AC307" s="305"/>
      <c r="AD307" s="305"/>
      <c r="AE307" s="305"/>
    </row>
    <row r="308" spans="1:31">
      <c r="A308" s="305"/>
      <c r="B308" s="305"/>
      <c r="C308" s="305"/>
      <c r="D308" s="305"/>
      <c r="E308" s="305"/>
      <c r="F308" s="305"/>
      <c r="G308" s="305"/>
      <c r="H308" s="305"/>
      <c r="I308" s="305"/>
      <c r="J308" s="305"/>
      <c r="K308" s="305"/>
      <c r="L308" s="305"/>
      <c r="M308" s="305"/>
      <c r="N308" s="305"/>
      <c r="O308" s="305"/>
      <c r="P308" s="305"/>
      <c r="Q308" s="305"/>
      <c r="R308" s="305"/>
      <c r="S308" s="305"/>
      <c r="T308" s="305"/>
      <c r="U308" s="305"/>
      <c r="V308" s="305"/>
      <c r="W308" s="305"/>
      <c r="X308" s="305"/>
      <c r="Y308" s="305"/>
      <c r="Z308" s="305"/>
      <c r="AA308" s="305"/>
      <c r="AB308" s="305"/>
      <c r="AC308" s="305"/>
      <c r="AD308" s="305"/>
      <c r="AE308" s="305"/>
    </row>
    <row r="309" spans="1:31">
      <c r="A309" s="305"/>
      <c r="B309" s="305"/>
      <c r="C309" s="305"/>
      <c r="D309" s="305"/>
      <c r="E309" s="305"/>
      <c r="F309" s="305"/>
      <c r="G309" s="305"/>
      <c r="H309" s="305"/>
      <c r="I309" s="305"/>
      <c r="J309" s="305"/>
      <c r="K309" s="305"/>
      <c r="L309" s="305"/>
      <c r="M309" s="305"/>
      <c r="N309" s="305"/>
      <c r="O309" s="305"/>
      <c r="P309" s="305"/>
      <c r="Q309" s="305"/>
      <c r="R309" s="305"/>
      <c r="S309" s="305"/>
      <c r="T309" s="305"/>
      <c r="U309" s="305"/>
      <c r="V309" s="305"/>
      <c r="W309" s="305"/>
      <c r="X309" s="305"/>
      <c r="Y309" s="305"/>
      <c r="Z309" s="305"/>
      <c r="AA309" s="305"/>
      <c r="AB309" s="305"/>
      <c r="AC309" s="305"/>
      <c r="AD309" s="305"/>
      <c r="AE309" s="305"/>
    </row>
    <row r="310" spans="1:31">
      <c r="A310" s="305"/>
      <c r="B310" s="305"/>
      <c r="C310" s="305"/>
      <c r="D310" s="305"/>
      <c r="E310" s="305"/>
      <c r="F310" s="305"/>
      <c r="G310" s="305"/>
      <c r="H310" s="305"/>
      <c r="I310" s="305"/>
      <c r="J310" s="305"/>
      <c r="K310" s="305"/>
      <c r="L310" s="305"/>
      <c r="M310" s="305"/>
      <c r="N310" s="305"/>
      <c r="O310" s="305"/>
      <c r="P310" s="305"/>
      <c r="Q310" s="305"/>
      <c r="R310" s="305"/>
      <c r="S310" s="305"/>
      <c r="T310" s="305"/>
      <c r="U310" s="305"/>
      <c r="V310" s="305"/>
      <c r="W310" s="305"/>
      <c r="X310" s="305"/>
      <c r="Y310" s="305"/>
      <c r="Z310" s="305"/>
      <c r="AA310" s="305"/>
      <c r="AB310" s="305"/>
      <c r="AC310" s="305"/>
      <c r="AD310" s="305"/>
      <c r="AE310" s="305"/>
    </row>
    <row r="311" spans="1:31">
      <c r="A311" s="305"/>
      <c r="B311" s="305"/>
      <c r="C311" s="305"/>
      <c r="D311" s="305"/>
      <c r="E311" s="305"/>
      <c r="F311" s="305"/>
      <c r="G311" s="305"/>
      <c r="H311" s="305"/>
      <c r="I311" s="305"/>
      <c r="J311" s="305"/>
      <c r="K311" s="305"/>
      <c r="L311" s="305"/>
      <c r="M311" s="305"/>
      <c r="N311" s="305"/>
      <c r="O311" s="305"/>
      <c r="P311" s="305"/>
      <c r="Q311" s="305"/>
      <c r="R311" s="305"/>
      <c r="S311" s="305"/>
      <c r="T311" s="305"/>
      <c r="U311" s="305"/>
      <c r="V311" s="305"/>
      <c r="W311" s="305"/>
      <c r="X311" s="305"/>
      <c r="Y311" s="305"/>
      <c r="Z311" s="305"/>
      <c r="AA311" s="305"/>
      <c r="AB311" s="305"/>
      <c r="AC311" s="305"/>
      <c r="AD311" s="305"/>
      <c r="AE311" s="305"/>
    </row>
    <row r="312" spans="1:31">
      <c r="A312" s="305"/>
      <c r="B312" s="305"/>
      <c r="C312" s="305"/>
      <c r="D312" s="305"/>
      <c r="E312" s="305"/>
      <c r="F312" s="305"/>
      <c r="G312" s="305"/>
      <c r="H312" s="305"/>
      <c r="I312" s="305"/>
      <c r="J312" s="305"/>
      <c r="K312" s="305"/>
      <c r="L312" s="305"/>
      <c r="M312" s="305"/>
      <c r="N312" s="305"/>
      <c r="O312" s="305"/>
      <c r="P312" s="305"/>
      <c r="Q312" s="305"/>
      <c r="R312" s="305"/>
      <c r="S312" s="305"/>
      <c r="T312" s="305"/>
      <c r="U312" s="305"/>
      <c r="V312" s="305"/>
      <c r="W312" s="305"/>
      <c r="X312" s="305"/>
      <c r="Y312" s="305"/>
      <c r="Z312" s="305"/>
      <c r="AA312" s="305"/>
      <c r="AB312" s="305"/>
      <c r="AC312" s="305"/>
      <c r="AD312" s="305"/>
      <c r="AE312" s="305"/>
    </row>
    <row r="313" spans="1:31">
      <c r="A313" s="305"/>
      <c r="B313" s="305"/>
      <c r="C313" s="305"/>
      <c r="D313" s="305"/>
      <c r="E313" s="305"/>
      <c r="F313" s="305"/>
      <c r="G313" s="305"/>
      <c r="H313" s="305"/>
      <c r="I313" s="305"/>
      <c r="J313" s="305"/>
      <c r="K313" s="305"/>
      <c r="L313" s="305"/>
      <c r="M313" s="305"/>
      <c r="N313" s="305"/>
      <c r="O313" s="305"/>
      <c r="P313" s="305"/>
      <c r="Q313" s="305"/>
      <c r="R313" s="305"/>
      <c r="S313" s="305"/>
      <c r="T313" s="305"/>
      <c r="U313" s="305"/>
      <c r="V313" s="305"/>
      <c r="W313" s="305"/>
      <c r="X313" s="305"/>
      <c r="Y313" s="305"/>
      <c r="Z313" s="305"/>
      <c r="AA313" s="305"/>
      <c r="AB313" s="305"/>
      <c r="AC313" s="305"/>
      <c r="AD313" s="305"/>
      <c r="AE313" s="305"/>
    </row>
    <row r="314" spans="1:31">
      <c r="A314" s="305"/>
      <c r="B314" s="305"/>
      <c r="C314" s="305"/>
      <c r="D314" s="305"/>
      <c r="E314" s="305"/>
      <c r="F314" s="305"/>
      <c r="G314" s="305"/>
      <c r="H314" s="305"/>
      <c r="I314" s="305"/>
      <c r="J314" s="305"/>
      <c r="K314" s="305"/>
      <c r="L314" s="305"/>
      <c r="M314" s="305"/>
      <c r="N314" s="305"/>
      <c r="O314" s="305"/>
      <c r="P314" s="305"/>
      <c r="Q314" s="305"/>
      <c r="R314" s="305"/>
      <c r="S314" s="305"/>
      <c r="T314" s="305"/>
      <c r="U314" s="305"/>
      <c r="V314" s="305"/>
      <c r="W314" s="305"/>
      <c r="X314" s="305"/>
      <c r="Y314" s="305"/>
      <c r="Z314" s="305"/>
      <c r="AA314" s="305"/>
      <c r="AB314" s="305"/>
      <c r="AC314" s="305"/>
      <c r="AD314" s="305"/>
      <c r="AE314" s="305"/>
    </row>
    <row r="315" spans="1:31">
      <c r="A315" s="305"/>
      <c r="B315" s="305"/>
      <c r="C315" s="305"/>
      <c r="D315" s="305"/>
      <c r="E315" s="305"/>
      <c r="F315" s="305"/>
      <c r="G315" s="305"/>
      <c r="H315" s="305"/>
      <c r="I315" s="305"/>
      <c r="J315" s="305"/>
      <c r="K315" s="305"/>
      <c r="L315" s="305"/>
      <c r="M315" s="305"/>
      <c r="N315" s="305"/>
      <c r="O315" s="305"/>
      <c r="P315" s="305"/>
      <c r="Q315" s="305"/>
      <c r="R315" s="305"/>
      <c r="S315" s="305"/>
      <c r="T315" s="305"/>
      <c r="U315" s="305"/>
      <c r="V315" s="305"/>
      <c r="W315" s="305"/>
      <c r="X315" s="305"/>
      <c r="Y315" s="305"/>
      <c r="Z315" s="305"/>
      <c r="AA315" s="305"/>
      <c r="AB315" s="305"/>
      <c r="AC315" s="305"/>
      <c r="AD315" s="305"/>
      <c r="AE315" s="305"/>
    </row>
    <row r="316" spans="1:31">
      <c r="A316" s="305"/>
      <c r="B316" s="305"/>
      <c r="C316" s="305"/>
      <c r="D316" s="305"/>
      <c r="E316" s="305"/>
      <c r="F316" s="305"/>
      <c r="G316" s="305"/>
      <c r="H316" s="305"/>
      <c r="I316" s="305"/>
      <c r="J316" s="305"/>
      <c r="K316" s="305"/>
      <c r="L316" s="305"/>
      <c r="M316" s="305"/>
      <c r="N316" s="305"/>
      <c r="O316" s="305"/>
      <c r="P316" s="305"/>
      <c r="Q316" s="305"/>
      <c r="R316" s="305"/>
      <c r="S316" s="305"/>
      <c r="T316" s="305"/>
      <c r="U316" s="305"/>
      <c r="V316" s="305"/>
      <c r="W316" s="305"/>
      <c r="X316" s="305"/>
      <c r="Y316" s="305"/>
      <c r="Z316" s="305"/>
      <c r="AA316" s="305"/>
      <c r="AB316" s="305"/>
      <c r="AC316" s="305"/>
      <c r="AD316" s="305"/>
      <c r="AE316" s="305"/>
    </row>
    <row r="317" spans="1:31">
      <c r="A317" s="305"/>
      <c r="B317" s="305"/>
      <c r="C317" s="305"/>
      <c r="D317" s="305"/>
      <c r="E317" s="305"/>
      <c r="F317" s="305"/>
      <c r="G317" s="305"/>
      <c r="H317" s="305"/>
      <c r="I317" s="305"/>
      <c r="J317" s="305"/>
      <c r="K317" s="305"/>
      <c r="L317" s="305"/>
      <c r="M317" s="305"/>
      <c r="N317" s="305"/>
      <c r="O317" s="305"/>
      <c r="P317" s="305"/>
      <c r="Q317" s="305"/>
      <c r="R317" s="305"/>
      <c r="S317" s="305"/>
      <c r="T317" s="305"/>
      <c r="U317" s="305"/>
      <c r="V317" s="305"/>
      <c r="W317" s="305"/>
      <c r="X317" s="305"/>
      <c r="Y317" s="305"/>
      <c r="Z317" s="305"/>
      <c r="AA317" s="305"/>
      <c r="AB317" s="305"/>
      <c r="AC317" s="305"/>
      <c r="AD317" s="305"/>
      <c r="AE317" s="305"/>
    </row>
    <row r="318" spans="1:31">
      <c r="A318" s="305"/>
      <c r="B318" s="305"/>
      <c r="C318" s="305"/>
      <c r="D318" s="305"/>
      <c r="E318" s="305"/>
      <c r="F318" s="305"/>
      <c r="G318" s="305"/>
      <c r="H318" s="305"/>
      <c r="I318" s="305"/>
      <c r="J318" s="305"/>
      <c r="K318" s="305"/>
      <c r="L318" s="305"/>
      <c r="M318" s="305"/>
      <c r="N318" s="305"/>
      <c r="O318" s="305"/>
      <c r="P318" s="305"/>
      <c r="Q318" s="305"/>
      <c r="R318" s="305"/>
      <c r="S318" s="305"/>
      <c r="T318" s="305"/>
      <c r="U318" s="305"/>
      <c r="V318" s="305"/>
      <c r="W318" s="305"/>
      <c r="X318" s="305"/>
      <c r="Y318" s="305"/>
      <c r="Z318" s="305"/>
      <c r="AA318" s="305"/>
      <c r="AB318" s="305"/>
      <c r="AC318" s="305"/>
      <c r="AD318" s="305"/>
      <c r="AE318" s="305"/>
    </row>
    <row r="319" spans="1:31">
      <c r="A319" s="305"/>
      <c r="B319" s="305"/>
      <c r="C319" s="305"/>
      <c r="D319" s="305"/>
      <c r="E319" s="305"/>
      <c r="F319" s="305"/>
      <c r="G319" s="305"/>
      <c r="H319" s="305"/>
      <c r="I319" s="305"/>
      <c r="J319" s="305"/>
      <c r="K319" s="305"/>
      <c r="L319" s="305"/>
      <c r="M319" s="305"/>
      <c r="N319" s="305"/>
      <c r="O319" s="305"/>
      <c r="P319" s="305"/>
      <c r="Q319" s="305"/>
      <c r="R319" s="305"/>
      <c r="S319" s="305"/>
      <c r="T319" s="305"/>
      <c r="U319" s="305"/>
      <c r="V319" s="305"/>
      <c r="W319" s="305"/>
      <c r="X319" s="305"/>
      <c r="Y319" s="305"/>
      <c r="Z319" s="305"/>
      <c r="AA319" s="305"/>
      <c r="AB319" s="305"/>
      <c r="AC319" s="305"/>
      <c r="AD319" s="305"/>
      <c r="AE319" s="305"/>
    </row>
    <row r="320" spans="1:31">
      <c r="A320" s="305"/>
      <c r="B320" s="305"/>
      <c r="C320" s="305"/>
      <c r="D320" s="305"/>
      <c r="E320" s="305"/>
      <c r="F320" s="305"/>
      <c r="G320" s="305"/>
      <c r="H320" s="305"/>
      <c r="I320" s="305"/>
      <c r="J320" s="305"/>
      <c r="K320" s="305"/>
      <c r="L320" s="305"/>
      <c r="M320" s="305"/>
      <c r="N320" s="305"/>
      <c r="O320" s="305"/>
      <c r="P320" s="305"/>
      <c r="Q320" s="305"/>
      <c r="R320" s="305"/>
      <c r="S320" s="305"/>
      <c r="T320" s="305"/>
      <c r="U320" s="305"/>
      <c r="V320" s="305"/>
      <c r="W320" s="305"/>
      <c r="X320" s="305"/>
      <c r="Y320" s="305"/>
      <c r="Z320" s="305"/>
      <c r="AA320" s="305"/>
      <c r="AB320" s="305"/>
      <c r="AC320" s="305"/>
      <c r="AD320" s="305"/>
      <c r="AE320" s="305"/>
    </row>
    <row r="321" spans="1:31">
      <c r="A321" s="305"/>
      <c r="B321" s="305"/>
      <c r="C321" s="305"/>
      <c r="D321" s="305"/>
      <c r="E321" s="305"/>
      <c r="F321" s="305"/>
      <c r="G321" s="305"/>
      <c r="H321" s="305"/>
      <c r="I321" s="305"/>
      <c r="J321" s="305"/>
      <c r="K321" s="305"/>
      <c r="L321" s="305"/>
      <c r="M321" s="305"/>
      <c r="N321" s="305"/>
      <c r="O321" s="305"/>
      <c r="P321" s="305"/>
      <c r="Q321" s="305"/>
      <c r="R321" s="305"/>
      <c r="S321" s="305"/>
      <c r="T321" s="305"/>
      <c r="U321" s="305"/>
      <c r="V321" s="305"/>
      <c r="W321" s="305"/>
      <c r="X321" s="305"/>
      <c r="Y321" s="305"/>
      <c r="Z321" s="305"/>
      <c r="AA321" s="305"/>
      <c r="AB321" s="305"/>
      <c r="AC321" s="305"/>
      <c r="AD321" s="305"/>
      <c r="AE321" s="305"/>
    </row>
    <row r="322" spans="1:31">
      <c r="A322" s="305"/>
      <c r="B322" s="305"/>
      <c r="C322" s="305"/>
      <c r="D322" s="305"/>
      <c r="E322" s="305"/>
      <c r="F322" s="305"/>
      <c r="G322" s="305"/>
      <c r="H322" s="305"/>
      <c r="I322" s="305"/>
      <c r="J322" s="305"/>
      <c r="K322" s="305"/>
      <c r="L322" s="305"/>
      <c r="M322" s="305"/>
      <c r="N322" s="305"/>
      <c r="O322" s="305"/>
      <c r="P322" s="305"/>
      <c r="Q322" s="305"/>
      <c r="R322" s="305"/>
      <c r="S322" s="305"/>
      <c r="T322" s="305"/>
      <c r="U322" s="305"/>
      <c r="V322" s="305"/>
      <c r="W322" s="305"/>
      <c r="X322" s="305"/>
      <c r="Y322" s="305"/>
      <c r="Z322" s="305"/>
      <c r="AA322" s="305"/>
      <c r="AB322" s="305"/>
      <c r="AC322" s="305"/>
      <c r="AD322" s="305"/>
      <c r="AE322" s="305"/>
    </row>
    <row r="323" spans="1:31">
      <c r="A323" s="305"/>
      <c r="B323" s="305"/>
      <c r="C323" s="305"/>
      <c r="D323" s="305"/>
      <c r="E323" s="305"/>
      <c r="F323" s="305"/>
      <c r="G323" s="305"/>
      <c r="H323" s="305"/>
      <c r="I323" s="305"/>
      <c r="J323" s="305"/>
      <c r="K323" s="305"/>
      <c r="L323" s="305"/>
      <c r="M323" s="305"/>
      <c r="N323" s="305"/>
      <c r="O323" s="305"/>
      <c r="P323" s="305"/>
      <c r="Q323" s="305"/>
      <c r="R323" s="305"/>
      <c r="S323" s="305"/>
      <c r="T323" s="305"/>
      <c r="U323" s="305"/>
      <c r="V323" s="305"/>
      <c r="W323" s="305"/>
      <c r="X323" s="305"/>
      <c r="Y323" s="305"/>
      <c r="Z323" s="305"/>
      <c r="AA323" s="305"/>
      <c r="AB323" s="305"/>
      <c r="AC323" s="305"/>
      <c r="AD323" s="305"/>
      <c r="AE323" s="305"/>
    </row>
    <row r="324" spans="1:31">
      <c r="A324" s="305"/>
      <c r="B324" s="305"/>
      <c r="C324" s="305"/>
      <c r="D324" s="305"/>
      <c r="E324" s="305"/>
      <c r="F324" s="305"/>
      <c r="G324" s="305"/>
      <c r="H324" s="305"/>
      <c r="I324" s="305"/>
      <c r="J324" s="305"/>
      <c r="K324" s="305"/>
      <c r="L324" s="305"/>
      <c r="M324" s="305"/>
      <c r="N324" s="305"/>
      <c r="O324" s="305"/>
      <c r="P324" s="305"/>
      <c r="Q324" s="305"/>
      <c r="R324" s="305"/>
      <c r="S324" s="305"/>
      <c r="T324" s="305"/>
      <c r="U324" s="305"/>
      <c r="V324" s="305"/>
      <c r="W324" s="305"/>
      <c r="X324" s="305"/>
      <c r="Y324" s="305"/>
      <c r="Z324" s="305"/>
      <c r="AA324" s="305"/>
      <c r="AB324" s="305"/>
      <c r="AC324" s="305"/>
      <c r="AD324" s="305"/>
      <c r="AE324" s="305"/>
    </row>
    <row r="325" spans="1:31">
      <c r="A325" s="305"/>
      <c r="B325" s="305"/>
      <c r="C325" s="305"/>
      <c r="D325" s="305"/>
      <c r="E325" s="305"/>
      <c r="F325" s="305"/>
      <c r="G325" s="305"/>
      <c r="H325" s="305"/>
      <c r="I325" s="305"/>
      <c r="J325" s="305"/>
      <c r="K325" s="305"/>
      <c r="L325" s="305"/>
      <c r="M325" s="305"/>
      <c r="N325" s="305"/>
      <c r="O325" s="305"/>
      <c r="P325" s="305"/>
      <c r="Q325" s="305"/>
      <c r="R325" s="305"/>
      <c r="S325" s="305"/>
      <c r="T325" s="305"/>
      <c r="U325" s="305"/>
      <c r="V325" s="305"/>
      <c r="W325" s="305"/>
      <c r="X325" s="305"/>
      <c r="Y325" s="305"/>
      <c r="Z325" s="305"/>
      <c r="AA325" s="305"/>
      <c r="AB325" s="305"/>
      <c r="AC325" s="305"/>
      <c r="AD325" s="305"/>
      <c r="AE325" s="305"/>
    </row>
    <row r="326" spans="1:31">
      <c r="A326" s="305"/>
      <c r="B326" s="305"/>
      <c r="C326" s="305"/>
      <c r="D326" s="305"/>
      <c r="E326" s="305"/>
      <c r="F326" s="305"/>
      <c r="G326" s="305"/>
      <c r="H326" s="305"/>
      <c r="I326" s="305"/>
      <c r="J326" s="305"/>
      <c r="K326" s="305"/>
      <c r="L326" s="305"/>
      <c r="M326" s="305"/>
      <c r="N326" s="305"/>
      <c r="O326" s="305"/>
      <c r="P326" s="305"/>
      <c r="Q326" s="305"/>
      <c r="R326" s="305"/>
      <c r="S326" s="305"/>
      <c r="T326" s="305"/>
      <c r="U326" s="305"/>
      <c r="V326" s="305"/>
      <c r="W326" s="305"/>
      <c r="X326" s="305"/>
      <c r="Y326" s="305"/>
      <c r="Z326" s="305"/>
      <c r="AA326" s="305"/>
      <c r="AB326" s="305"/>
      <c r="AC326" s="305"/>
      <c r="AD326" s="305"/>
      <c r="AE326" s="305"/>
    </row>
    <row r="327" spans="1:31">
      <c r="A327" s="305"/>
      <c r="B327" s="305"/>
      <c r="C327" s="305"/>
      <c r="D327" s="305"/>
      <c r="E327" s="305"/>
      <c r="F327" s="305"/>
      <c r="G327" s="305"/>
      <c r="H327" s="305"/>
      <c r="I327" s="305"/>
      <c r="J327" s="305"/>
      <c r="K327" s="305"/>
      <c r="L327" s="305"/>
      <c r="M327" s="305"/>
      <c r="N327" s="305"/>
      <c r="O327" s="305"/>
      <c r="P327" s="305"/>
      <c r="Q327" s="305"/>
      <c r="R327" s="305"/>
      <c r="S327" s="305"/>
      <c r="T327" s="305"/>
      <c r="U327" s="305"/>
      <c r="V327" s="305"/>
      <c r="W327" s="305"/>
      <c r="X327" s="305"/>
      <c r="Y327" s="305"/>
      <c r="Z327" s="305"/>
      <c r="AA327" s="305"/>
      <c r="AB327" s="305"/>
      <c r="AC327" s="305"/>
      <c r="AD327" s="305"/>
      <c r="AE327" s="305"/>
    </row>
    <row r="328" spans="1:31">
      <c r="A328" s="305"/>
      <c r="B328" s="305"/>
      <c r="C328" s="305"/>
      <c r="D328" s="305"/>
      <c r="E328" s="305"/>
      <c r="F328" s="305"/>
      <c r="G328" s="305"/>
      <c r="H328" s="305"/>
      <c r="I328" s="305"/>
      <c r="J328" s="305"/>
      <c r="K328" s="305"/>
      <c r="L328" s="305"/>
      <c r="M328" s="305"/>
      <c r="N328" s="305"/>
      <c r="O328" s="305"/>
      <c r="P328" s="305"/>
      <c r="Q328" s="305"/>
      <c r="R328" s="305"/>
      <c r="S328" s="305"/>
      <c r="T328" s="305"/>
      <c r="U328" s="305"/>
      <c r="V328" s="305"/>
      <c r="W328" s="305"/>
      <c r="X328" s="305"/>
      <c r="Y328" s="305"/>
      <c r="Z328" s="305"/>
      <c r="AA328" s="305"/>
      <c r="AB328" s="305"/>
      <c r="AC328" s="305"/>
      <c r="AD328" s="305"/>
      <c r="AE328" s="305"/>
    </row>
    <row r="329" spans="1:31">
      <c r="A329" s="305"/>
      <c r="B329" s="305"/>
      <c r="C329" s="305"/>
      <c r="D329" s="305"/>
      <c r="E329" s="305"/>
      <c r="F329" s="305"/>
      <c r="G329" s="305"/>
      <c r="H329" s="305"/>
      <c r="I329" s="305"/>
      <c r="J329" s="305"/>
      <c r="K329" s="305"/>
      <c r="L329" s="305"/>
      <c r="M329" s="305"/>
      <c r="N329" s="305"/>
      <c r="O329" s="305"/>
      <c r="P329" s="305"/>
      <c r="Q329" s="305"/>
      <c r="R329" s="305"/>
      <c r="S329" s="305"/>
      <c r="T329" s="305"/>
      <c r="U329" s="305"/>
      <c r="V329" s="305"/>
      <c r="W329" s="305"/>
      <c r="X329" s="305"/>
      <c r="Y329" s="305"/>
      <c r="Z329" s="305"/>
      <c r="AA329" s="305"/>
      <c r="AB329" s="305"/>
      <c r="AC329" s="305"/>
      <c r="AD329" s="305"/>
      <c r="AE329" s="305"/>
    </row>
    <row r="330" spans="1:31">
      <c r="A330" s="305"/>
      <c r="B330" s="305"/>
      <c r="C330" s="305"/>
      <c r="D330" s="305"/>
      <c r="E330" s="305"/>
      <c r="F330" s="305"/>
      <c r="G330" s="305"/>
      <c r="H330" s="305"/>
      <c r="I330" s="305"/>
      <c r="J330" s="305"/>
      <c r="K330" s="305"/>
      <c r="L330" s="305"/>
      <c r="M330" s="305"/>
      <c r="N330" s="305"/>
      <c r="O330" s="305"/>
      <c r="P330" s="305"/>
      <c r="Q330" s="305"/>
      <c r="R330" s="305"/>
      <c r="S330" s="305"/>
      <c r="T330" s="305"/>
      <c r="U330" s="305"/>
      <c r="V330" s="305"/>
      <c r="W330" s="305"/>
      <c r="X330" s="305"/>
      <c r="Y330" s="305"/>
      <c r="Z330" s="305"/>
      <c r="AA330" s="305"/>
      <c r="AB330" s="305"/>
      <c r="AC330" s="305"/>
      <c r="AD330" s="305"/>
      <c r="AE330" s="305"/>
    </row>
    <row r="331" spans="1:31">
      <c r="A331" s="305"/>
      <c r="B331" s="305"/>
      <c r="C331" s="305"/>
      <c r="D331" s="305"/>
      <c r="E331" s="305"/>
      <c r="F331" s="305"/>
      <c r="G331" s="305"/>
      <c r="H331" s="305"/>
      <c r="I331" s="305"/>
      <c r="J331" s="305"/>
      <c r="K331" s="305"/>
      <c r="L331" s="305"/>
      <c r="M331" s="305"/>
      <c r="N331" s="305"/>
      <c r="O331" s="305"/>
      <c r="P331" s="305"/>
      <c r="Q331" s="305"/>
      <c r="R331" s="305"/>
      <c r="S331" s="305"/>
      <c r="T331" s="305"/>
      <c r="U331" s="305"/>
      <c r="V331" s="305"/>
      <c r="W331" s="305"/>
      <c r="X331" s="305"/>
      <c r="Y331" s="305"/>
      <c r="Z331" s="305"/>
      <c r="AA331" s="305"/>
      <c r="AB331" s="305"/>
      <c r="AC331" s="305"/>
      <c r="AD331" s="305"/>
      <c r="AE331" s="305"/>
    </row>
    <row r="332" spans="1:31">
      <c r="A332" s="305"/>
      <c r="B332" s="305"/>
      <c r="C332" s="305"/>
      <c r="D332" s="305"/>
      <c r="E332" s="305"/>
      <c r="F332" s="305"/>
      <c r="G332" s="305"/>
      <c r="H332" s="305"/>
      <c r="I332" s="305"/>
      <c r="J332" s="305"/>
      <c r="K332" s="305"/>
      <c r="L332" s="305"/>
      <c r="M332" s="305"/>
      <c r="N332" s="305"/>
      <c r="O332" s="305"/>
      <c r="P332" s="305"/>
      <c r="Q332" s="305"/>
      <c r="R332" s="305"/>
      <c r="S332" s="305"/>
      <c r="T332" s="305"/>
      <c r="U332" s="305"/>
      <c r="V332" s="305"/>
      <c r="W332" s="305"/>
      <c r="X332" s="305"/>
      <c r="Y332" s="305"/>
      <c r="Z332" s="305"/>
      <c r="AA332" s="305"/>
      <c r="AB332" s="305"/>
      <c r="AC332" s="305"/>
      <c r="AD332" s="305"/>
      <c r="AE332" s="305"/>
    </row>
    <row r="333" spans="1:31">
      <c r="A333" s="305"/>
      <c r="B333" s="305"/>
      <c r="C333" s="305"/>
      <c r="D333" s="305"/>
      <c r="E333" s="305"/>
      <c r="F333" s="305"/>
      <c r="G333" s="305"/>
      <c r="H333" s="305"/>
      <c r="I333" s="305"/>
      <c r="J333" s="305"/>
      <c r="K333" s="305"/>
      <c r="L333" s="305"/>
      <c r="M333" s="305"/>
      <c r="N333" s="305"/>
      <c r="O333" s="305"/>
      <c r="P333" s="305"/>
      <c r="Q333" s="305"/>
      <c r="R333" s="305"/>
      <c r="S333" s="305"/>
      <c r="T333" s="305"/>
      <c r="U333" s="305"/>
      <c r="V333" s="305"/>
      <c r="W333" s="305"/>
      <c r="X333" s="305"/>
      <c r="Y333" s="305"/>
      <c r="Z333" s="305"/>
      <c r="AA333" s="305"/>
      <c r="AB333" s="305"/>
      <c r="AC333" s="305"/>
      <c r="AD333" s="305"/>
      <c r="AE333" s="305"/>
    </row>
    <row r="334" spans="1:31">
      <c r="A334" s="305"/>
      <c r="B334" s="305"/>
      <c r="C334" s="305"/>
      <c r="D334" s="305"/>
      <c r="E334" s="305"/>
      <c r="F334" s="305"/>
      <c r="G334" s="305"/>
      <c r="H334" s="305"/>
      <c r="I334" s="305"/>
      <c r="J334" s="305"/>
      <c r="K334" s="305"/>
      <c r="L334" s="305"/>
      <c r="M334" s="305"/>
      <c r="N334" s="305"/>
      <c r="O334" s="305"/>
      <c r="P334" s="305"/>
      <c r="Q334" s="305"/>
      <c r="R334" s="305"/>
      <c r="S334" s="305"/>
      <c r="T334" s="305"/>
      <c r="U334" s="305"/>
      <c r="V334" s="305"/>
      <c r="W334" s="305"/>
      <c r="X334" s="305"/>
      <c r="Y334" s="305"/>
      <c r="Z334" s="305"/>
      <c r="AA334" s="305"/>
      <c r="AB334" s="305"/>
      <c r="AC334" s="305"/>
      <c r="AD334" s="305"/>
      <c r="AE334" s="305"/>
    </row>
    <row r="335" spans="1:31">
      <c r="A335" s="305"/>
      <c r="B335" s="305"/>
      <c r="C335" s="305"/>
      <c r="D335" s="305"/>
      <c r="E335" s="305"/>
      <c r="F335" s="305"/>
      <c r="G335" s="305"/>
      <c r="H335" s="305"/>
      <c r="I335" s="305"/>
      <c r="J335" s="305"/>
      <c r="K335" s="305"/>
      <c r="L335" s="305"/>
      <c r="M335" s="305"/>
      <c r="N335" s="305"/>
      <c r="O335" s="305"/>
      <c r="P335" s="305"/>
      <c r="Q335" s="305"/>
      <c r="R335" s="305"/>
      <c r="S335" s="305"/>
      <c r="T335" s="305"/>
      <c r="U335" s="305"/>
      <c r="V335" s="305"/>
      <c r="W335" s="305"/>
      <c r="X335" s="305"/>
      <c r="Y335" s="305"/>
      <c r="Z335" s="305"/>
      <c r="AA335" s="305"/>
      <c r="AB335" s="305"/>
      <c r="AC335" s="305"/>
      <c r="AD335" s="305"/>
      <c r="AE335" s="305"/>
    </row>
    <row r="336" spans="1:31">
      <c r="A336" s="305"/>
      <c r="B336" s="305"/>
      <c r="C336" s="305"/>
      <c r="D336" s="305"/>
      <c r="E336" s="305"/>
      <c r="F336" s="305"/>
      <c r="G336" s="305"/>
      <c r="H336" s="305"/>
      <c r="I336" s="305"/>
      <c r="J336" s="305"/>
      <c r="K336" s="305"/>
      <c r="L336" s="305"/>
      <c r="M336" s="305"/>
      <c r="N336" s="305"/>
      <c r="O336" s="305"/>
      <c r="P336" s="305"/>
      <c r="Q336" s="305"/>
      <c r="R336" s="305"/>
      <c r="S336" s="305"/>
      <c r="T336" s="305"/>
      <c r="U336" s="305"/>
      <c r="V336" s="305"/>
      <c r="W336" s="305"/>
      <c r="X336" s="305"/>
      <c r="Y336" s="305"/>
      <c r="Z336" s="305"/>
      <c r="AA336" s="305"/>
      <c r="AB336" s="305"/>
      <c r="AC336" s="305"/>
      <c r="AD336" s="305"/>
      <c r="AE336" s="305"/>
    </row>
    <row r="337" spans="1:31">
      <c r="A337" s="305"/>
      <c r="B337" s="305"/>
      <c r="C337" s="305"/>
      <c r="D337" s="305"/>
      <c r="E337" s="305"/>
      <c r="F337" s="305"/>
      <c r="G337" s="305"/>
      <c r="H337" s="305"/>
      <c r="I337" s="305"/>
      <c r="J337" s="305"/>
      <c r="K337" s="305"/>
      <c r="L337" s="305"/>
      <c r="M337" s="305"/>
      <c r="N337" s="305"/>
      <c r="O337" s="305"/>
      <c r="P337" s="305"/>
      <c r="Q337" s="305"/>
      <c r="R337" s="305"/>
      <c r="S337" s="305"/>
      <c r="T337" s="305"/>
      <c r="U337" s="305"/>
      <c r="V337" s="305"/>
      <c r="W337" s="305"/>
      <c r="X337" s="305"/>
      <c r="Y337" s="305"/>
      <c r="Z337" s="305"/>
      <c r="AA337" s="305"/>
      <c r="AB337" s="305"/>
      <c r="AC337" s="305"/>
      <c r="AD337" s="305"/>
      <c r="AE337" s="305"/>
    </row>
    <row r="338" spans="1:31">
      <c r="A338" s="305"/>
      <c r="B338" s="305"/>
      <c r="C338" s="305"/>
      <c r="D338" s="305"/>
      <c r="E338" s="305"/>
      <c r="F338" s="305"/>
      <c r="G338" s="305"/>
      <c r="H338" s="305"/>
      <c r="I338" s="305"/>
      <c r="J338" s="305"/>
      <c r="K338" s="305"/>
      <c r="L338" s="305"/>
      <c r="M338" s="305"/>
      <c r="N338" s="305"/>
      <c r="O338" s="305"/>
      <c r="P338" s="305"/>
      <c r="Q338" s="305"/>
      <c r="R338" s="305"/>
      <c r="S338" s="305"/>
      <c r="T338" s="305"/>
      <c r="U338" s="305"/>
      <c r="V338" s="305"/>
      <c r="W338" s="305"/>
      <c r="X338" s="305"/>
      <c r="Y338" s="305"/>
      <c r="Z338" s="305"/>
      <c r="AA338" s="305"/>
      <c r="AB338" s="305"/>
      <c r="AC338" s="305"/>
      <c r="AD338" s="305"/>
      <c r="AE338" s="305"/>
    </row>
    <row r="339" spans="1:31">
      <c r="A339" s="305"/>
      <c r="B339" s="305"/>
      <c r="C339" s="305"/>
      <c r="D339" s="305"/>
      <c r="E339" s="305"/>
      <c r="F339" s="305"/>
      <c r="G339" s="305"/>
      <c r="H339" s="305"/>
      <c r="I339" s="305"/>
      <c r="J339" s="305"/>
      <c r="K339" s="305"/>
      <c r="L339" s="305"/>
      <c r="M339" s="305"/>
      <c r="N339" s="305"/>
      <c r="O339" s="305"/>
      <c r="P339" s="305"/>
      <c r="Q339" s="305"/>
      <c r="R339" s="305"/>
      <c r="S339" s="305"/>
      <c r="T339" s="305"/>
      <c r="U339" s="305"/>
      <c r="V339" s="305"/>
      <c r="W339" s="305"/>
      <c r="X339" s="305"/>
      <c r="Y339" s="305"/>
      <c r="Z339" s="305"/>
      <c r="AA339" s="305"/>
      <c r="AB339" s="305"/>
      <c r="AC339" s="305"/>
      <c r="AD339" s="305"/>
      <c r="AE339" s="305"/>
    </row>
    <row r="340" spans="1:31">
      <c r="A340" s="305"/>
      <c r="B340" s="305"/>
      <c r="C340" s="305"/>
      <c r="D340" s="305"/>
      <c r="E340" s="305"/>
      <c r="F340" s="305"/>
      <c r="G340" s="305"/>
      <c r="H340" s="305"/>
      <c r="I340" s="305"/>
      <c r="J340" s="305"/>
      <c r="K340" s="305"/>
      <c r="L340" s="305"/>
      <c r="M340" s="305"/>
      <c r="N340" s="305"/>
      <c r="O340" s="305"/>
      <c r="P340" s="305"/>
      <c r="Q340" s="305"/>
      <c r="R340" s="305"/>
      <c r="S340" s="305"/>
      <c r="T340" s="305"/>
      <c r="U340" s="305"/>
      <c r="V340" s="305"/>
      <c r="W340" s="305"/>
      <c r="X340" s="305"/>
      <c r="Y340" s="305"/>
      <c r="Z340" s="305"/>
      <c r="AA340" s="305"/>
      <c r="AB340" s="305"/>
      <c r="AC340" s="305"/>
      <c r="AD340" s="305"/>
      <c r="AE340" s="305"/>
    </row>
    <row r="341" spans="1:31">
      <c r="A341" s="305"/>
      <c r="B341" s="305"/>
      <c r="C341" s="305"/>
      <c r="D341" s="305"/>
      <c r="E341" s="305"/>
      <c r="F341" s="305"/>
      <c r="G341" s="305"/>
      <c r="H341" s="305"/>
      <c r="I341" s="305"/>
      <c r="J341" s="305"/>
      <c r="K341" s="305"/>
      <c r="L341" s="305"/>
      <c r="M341" s="305"/>
      <c r="N341" s="305"/>
      <c r="O341" s="305"/>
      <c r="P341" s="305"/>
      <c r="Q341" s="305"/>
      <c r="R341" s="305"/>
      <c r="S341" s="305"/>
      <c r="T341" s="305"/>
      <c r="U341" s="305"/>
      <c r="V341" s="305"/>
      <c r="W341" s="305"/>
      <c r="X341" s="305"/>
      <c r="Y341" s="305"/>
      <c r="Z341" s="305"/>
      <c r="AA341" s="305"/>
      <c r="AB341" s="305"/>
      <c r="AC341" s="305"/>
      <c r="AD341" s="305"/>
      <c r="AE341" s="305"/>
    </row>
    <row r="342" spans="1:31">
      <c r="A342" s="305"/>
      <c r="B342" s="305"/>
      <c r="C342" s="305"/>
      <c r="D342" s="305"/>
      <c r="E342" s="305"/>
      <c r="F342" s="305"/>
      <c r="G342" s="305"/>
      <c r="H342" s="305"/>
      <c r="I342" s="305"/>
      <c r="J342" s="305"/>
      <c r="K342" s="305"/>
      <c r="L342" s="305"/>
      <c r="M342" s="305"/>
      <c r="N342" s="305"/>
      <c r="O342" s="305"/>
      <c r="P342" s="305"/>
      <c r="Q342" s="305"/>
      <c r="R342" s="305"/>
      <c r="S342" s="305"/>
      <c r="T342" s="305"/>
      <c r="U342" s="305"/>
      <c r="V342" s="305"/>
      <c r="W342" s="305"/>
      <c r="X342" s="305"/>
      <c r="Y342" s="305"/>
      <c r="Z342" s="305"/>
      <c r="AA342" s="305"/>
      <c r="AB342" s="305"/>
      <c r="AC342" s="305"/>
      <c r="AD342" s="305"/>
      <c r="AE342" s="305"/>
    </row>
    <row r="343" spans="1:31">
      <c r="A343" s="305"/>
      <c r="B343" s="305"/>
      <c r="C343" s="305"/>
      <c r="D343" s="305"/>
      <c r="E343" s="305"/>
      <c r="F343" s="305"/>
      <c r="G343" s="305"/>
      <c r="H343" s="305"/>
      <c r="I343" s="305"/>
      <c r="J343" s="305"/>
      <c r="K343" s="305"/>
      <c r="L343" s="305"/>
      <c r="M343" s="305"/>
      <c r="N343" s="305"/>
      <c r="O343" s="305"/>
      <c r="P343" s="305"/>
      <c r="Q343" s="305"/>
      <c r="R343" s="305"/>
      <c r="S343" s="305"/>
      <c r="T343" s="305"/>
      <c r="U343" s="305"/>
      <c r="V343" s="305"/>
      <c r="W343" s="305"/>
      <c r="X343" s="305"/>
      <c r="Y343" s="305"/>
      <c r="Z343" s="305"/>
      <c r="AA343" s="305"/>
      <c r="AB343" s="305"/>
      <c r="AC343" s="305"/>
      <c r="AD343" s="305"/>
      <c r="AE343" s="305"/>
    </row>
    <row r="344" spans="1:31">
      <c r="A344" s="305"/>
      <c r="B344" s="305"/>
      <c r="C344" s="305"/>
      <c r="D344" s="305"/>
      <c r="E344" s="305"/>
      <c r="F344" s="305"/>
      <c r="G344" s="305"/>
      <c r="H344" s="305"/>
      <c r="I344" s="305"/>
      <c r="J344" s="305"/>
      <c r="K344" s="305"/>
      <c r="L344" s="305"/>
      <c r="M344" s="305"/>
      <c r="N344" s="305"/>
      <c r="O344" s="305"/>
      <c r="P344" s="305"/>
      <c r="Q344" s="305"/>
      <c r="R344" s="305"/>
      <c r="S344" s="305"/>
      <c r="T344" s="305"/>
      <c r="U344" s="305"/>
      <c r="V344" s="305"/>
      <c r="W344" s="305"/>
      <c r="X344" s="305"/>
      <c r="Y344" s="305"/>
      <c r="Z344" s="305"/>
      <c r="AA344" s="305"/>
      <c r="AB344" s="305"/>
      <c r="AC344" s="305"/>
      <c r="AD344" s="305"/>
      <c r="AE344" s="305"/>
    </row>
    <row r="345" spans="1:31">
      <c r="A345" s="305"/>
      <c r="B345" s="305"/>
      <c r="C345" s="305"/>
      <c r="D345" s="305"/>
      <c r="E345" s="305"/>
      <c r="F345" s="305"/>
      <c r="G345" s="305"/>
      <c r="H345" s="305"/>
      <c r="I345" s="305"/>
      <c r="J345" s="305"/>
      <c r="K345" s="305"/>
      <c r="L345" s="305"/>
      <c r="M345" s="305"/>
      <c r="N345" s="305"/>
      <c r="O345" s="305"/>
      <c r="P345" s="305"/>
      <c r="Q345" s="305"/>
      <c r="R345" s="305"/>
      <c r="S345" s="305"/>
      <c r="T345" s="305"/>
      <c r="U345" s="305"/>
      <c r="V345" s="305"/>
      <c r="W345" s="305"/>
      <c r="X345" s="305"/>
      <c r="Y345" s="305"/>
      <c r="Z345" s="305"/>
      <c r="AA345" s="305"/>
      <c r="AB345" s="305"/>
      <c r="AC345" s="305"/>
      <c r="AD345" s="305"/>
      <c r="AE345" s="305"/>
    </row>
    <row r="346" spans="1:31">
      <c r="A346" s="305"/>
      <c r="B346" s="305"/>
      <c r="C346" s="305"/>
      <c r="D346" s="305"/>
      <c r="E346" s="305"/>
      <c r="F346" s="305"/>
      <c r="G346" s="305"/>
      <c r="H346" s="305"/>
      <c r="I346" s="305"/>
      <c r="J346" s="305"/>
      <c r="K346" s="305"/>
      <c r="L346" s="305"/>
      <c r="M346" s="305"/>
      <c r="N346" s="305"/>
      <c r="O346" s="305"/>
      <c r="P346" s="305"/>
      <c r="Q346" s="305"/>
      <c r="R346" s="305"/>
      <c r="S346" s="305"/>
      <c r="T346" s="305"/>
      <c r="U346" s="305"/>
      <c r="V346" s="305"/>
      <c r="W346" s="305"/>
      <c r="X346" s="305"/>
      <c r="Y346" s="305"/>
      <c r="Z346" s="305"/>
      <c r="AA346" s="305"/>
      <c r="AB346" s="305"/>
      <c r="AC346" s="305"/>
      <c r="AD346" s="305"/>
      <c r="AE346" s="305"/>
    </row>
    <row r="347" spans="1:31">
      <c r="A347" s="305"/>
      <c r="B347" s="305"/>
      <c r="C347" s="305"/>
      <c r="D347" s="305"/>
      <c r="E347" s="305"/>
      <c r="F347" s="305"/>
      <c r="G347" s="305"/>
      <c r="H347" s="305"/>
      <c r="I347" s="305"/>
      <c r="J347" s="305"/>
      <c r="K347" s="305"/>
      <c r="L347" s="305"/>
      <c r="M347" s="305"/>
      <c r="N347" s="305"/>
      <c r="O347" s="305"/>
      <c r="P347" s="305"/>
      <c r="Q347" s="305"/>
      <c r="R347" s="305"/>
      <c r="S347" s="305"/>
      <c r="T347" s="305"/>
      <c r="U347" s="305"/>
      <c r="V347" s="305"/>
      <c r="W347" s="305"/>
      <c r="X347" s="305"/>
      <c r="Y347" s="305"/>
      <c r="Z347" s="305"/>
      <c r="AA347" s="305"/>
      <c r="AB347" s="305"/>
      <c r="AC347" s="305"/>
      <c r="AD347" s="305"/>
      <c r="AE347" s="305"/>
    </row>
    <row r="348" spans="1:31">
      <c r="A348" s="305"/>
      <c r="B348" s="305"/>
      <c r="C348" s="305"/>
      <c r="D348" s="305"/>
      <c r="E348" s="305"/>
      <c r="F348" s="305"/>
      <c r="G348" s="305"/>
      <c r="H348" s="305"/>
      <c r="I348" s="305"/>
      <c r="J348" s="305"/>
      <c r="K348" s="305"/>
      <c r="L348" s="305"/>
      <c r="M348" s="305"/>
      <c r="N348" s="305"/>
      <c r="O348" s="305"/>
      <c r="P348" s="305"/>
      <c r="Q348" s="305"/>
      <c r="R348" s="305"/>
      <c r="S348" s="305"/>
      <c r="T348" s="305"/>
      <c r="U348" s="305"/>
      <c r="V348" s="305"/>
      <c r="W348" s="305"/>
      <c r="X348" s="305"/>
      <c r="Y348" s="305"/>
      <c r="Z348" s="305"/>
      <c r="AA348" s="305"/>
      <c r="AB348" s="305"/>
      <c r="AC348" s="305"/>
      <c r="AD348" s="305"/>
      <c r="AE348" s="305"/>
    </row>
    <row r="349" spans="1:31">
      <c r="A349" s="305"/>
      <c r="B349" s="305"/>
      <c r="C349" s="305"/>
      <c r="D349" s="305"/>
      <c r="E349" s="305"/>
      <c r="F349" s="305"/>
      <c r="G349" s="305"/>
      <c r="H349" s="305"/>
      <c r="I349" s="305"/>
      <c r="J349" s="305"/>
      <c r="K349" s="305"/>
      <c r="L349" s="305"/>
      <c r="M349" s="305"/>
      <c r="N349" s="305"/>
      <c r="O349" s="305"/>
      <c r="P349" s="305"/>
      <c r="Q349" s="305"/>
      <c r="R349" s="305"/>
      <c r="S349" s="305"/>
      <c r="T349" s="305"/>
      <c r="U349" s="305"/>
      <c r="V349" s="305"/>
      <c r="W349" s="305"/>
      <c r="X349" s="305"/>
      <c r="Y349" s="305"/>
      <c r="Z349" s="305"/>
      <c r="AA349" s="305"/>
      <c r="AB349" s="305"/>
      <c r="AC349" s="305"/>
      <c r="AD349" s="305"/>
      <c r="AE349" s="305"/>
    </row>
    <row r="350" spans="1:31">
      <c r="A350" s="305"/>
      <c r="B350" s="305"/>
      <c r="C350" s="305"/>
      <c r="D350" s="305"/>
      <c r="E350" s="305"/>
      <c r="F350" s="305"/>
      <c r="G350" s="305"/>
      <c r="H350" s="305"/>
      <c r="I350" s="305"/>
      <c r="J350" s="305"/>
      <c r="K350" s="305"/>
      <c r="L350" s="305"/>
      <c r="M350" s="305"/>
      <c r="N350" s="305"/>
      <c r="O350" s="305"/>
      <c r="P350" s="305"/>
      <c r="Q350" s="305"/>
      <c r="R350" s="305"/>
      <c r="S350" s="305"/>
      <c r="T350" s="305"/>
      <c r="U350" s="305"/>
      <c r="V350" s="305"/>
      <c r="W350" s="305"/>
      <c r="X350" s="305"/>
      <c r="Y350" s="305"/>
      <c r="Z350" s="305"/>
      <c r="AA350" s="305"/>
      <c r="AB350" s="305"/>
      <c r="AC350" s="305"/>
      <c r="AD350" s="305"/>
      <c r="AE350" s="305"/>
    </row>
    <row r="351" spans="1:31">
      <c r="A351" s="305"/>
      <c r="B351" s="305"/>
      <c r="C351" s="305"/>
      <c r="D351" s="305"/>
      <c r="E351" s="305"/>
      <c r="F351" s="305"/>
      <c r="G351" s="305"/>
      <c r="H351" s="305"/>
      <c r="I351" s="305"/>
      <c r="J351" s="305"/>
      <c r="K351" s="305"/>
      <c r="L351" s="305"/>
      <c r="M351" s="305"/>
      <c r="N351" s="305"/>
      <c r="O351" s="305"/>
      <c r="P351" s="305"/>
      <c r="Q351" s="305"/>
      <c r="R351" s="305"/>
      <c r="S351" s="305"/>
      <c r="T351" s="305"/>
      <c r="U351" s="305"/>
      <c r="V351" s="305"/>
      <c r="W351" s="305"/>
      <c r="X351" s="305"/>
      <c r="Y351" s="305"/>
      <c r="Z351" s="305"/>
      <c r="AA351" s="305"/>
      <c r="AB351" s="305"/>
      <c r="AC351" s="305"/>
      <c r="AD351" s="305"/>
      <c r="AE351" s="305"/>
    </row>
    <row r="352" spans="1:31">
      <c r="A352" s="305"/>
      <c r="B352" s="305"/>
      <c r="C352" s="305"/>
      <c r="D352" s="305"/>
      <c r="E352" s="305"/>
      <c r="F352" s="305"/>
      <c r="G352" s="305"/>
      <c r="H352" s="305"/>
      <c r="I352" s="305"/>
      <c r="J352" s="305"/>
      <c r="K352" s="305"/>
      <c r="L352" s="305"/>
      <c r="M352" s="305"/>
      <c r="N352" s="305"/>
      <c r="O352" s="305"/>
      <c r="P352" s="305"/>
      <c r="Q352" s="305"/>
      <c r="R352" s="305"/>
      <c r="S352" s="305"/>
      <c r="T352" s="305"/>
      <c r="U352" s="305"/>
      <c r="V352" s="305"/>
      <c r="W352" s="305"/>
      <c r="X352" s="305"/>
      <c r="Y352" s="305"/>
      <c r="Z352" s="305"/>
      <c r="AA352" s="305"/>
      <c r="AB352" s="305"/>
      <c r="AC352" s="305"/>
      <c r="AD352" s="305"/>
      <c r="AE352" s="305"/>
    </row>
    <row r="353" spans="1:31">
      <c r="A353" s="305"/>
      <c r="B353" s="305"/>
      <c r="C353" s="305"/>
      <c r="D353" s="305"/>
      <c r="E353" s="305"/>
      <c r="F353" s="305"/>
      <c r="G353" s="305"/>
      <c r="H353" s="305"/>
      <c r="I353" s="305"/>
      <c r="J353" s="305"/>
      <c r="K353" s="305"/>
      <c r="L353" s="305"/>
      <c r="M353" s="305"/>
      <c r="N353" s="305"/>
      <c r="O353" s="305"/>
      <c r="P353" s="305"/>
      <c r="Q353" s="305"/>
      <c r="R353" s="305"/>
      <c r="S353" s="305"/>
      <c r="T353" s="305"/>
      <c r="U353" s="305"/>
      <c r="V353" s="305"/>
      <c r="W353" s="305"/>
      <c r="X353" s="305"/>
      <c r="Y353" s="305"/>
      <c r="Z353" s="305"/>
      <c r="AA353" s="305"/>
      <c r="AB353" s="305"/>
      <c r="AC353" s="305"/>
      <c r="AD353" s="305"/>
      <c r="AE353" s="305"/>
    </row>
    <row r="354" spans="1:31">
      <c r="A354" s="305"/>
      <c r="B354" s="305"/>
      <c r="C354" s="305"/>
      <c r="D354" s="305"/>
      <c r="E354" s="305"/>
      <c r="F354" s="305"/>
      <c r="G354" s="305"/>
      <c r="H354" s="305"/>
      <c r="I354" s="305"/>
      <c r="J354" s="305"/>
      <c r="K354" s="305"/>
      <c r="L354" s="305"/>
      <c r="M354" s="305"/>
      <c r="N354" s="305"/>
      <c r="O354" s="305"/>
      <c r="P354" s="305"/>
      <c r="Q354" s="305"/>
      <c r="R354" s="305"/>
      <c r="S354" s="305"/>
      <c r="T354" s="305"/>
      <c r="U354" s="305"/>
      <c r="V354" s="305"/>
      <c r="W354" s="305"/>
      <c r="X354" s="305"/>
      <c r="Y354" s="305"/>
      <c r="Z354" s="305"/>
      <c r="AA354" s="305"/>
      <c r="AB354" s="305"/>
      <c r="AC354" s="305"/>
      <c r="AD354" s="305"/>
      <c r="AE354" s="305"/>
    </row>
    <row r="355" spans="1:31">
      <c r="A355" s="305"/>
      <c r="B355" s="305"/>
      <c r="C355" s="305"/>
      <c r="D355" s="305"/>
      <c r="E355" s="305"/>
      <c r="F355" s="305"/>
      <c r="G355" s="305"/>
      <c r="H355" s="305"/>
      <c r="I355" s="305"/>
      <c r="J355" s="305"/>
      <c r="K355" s="305"/>
      <c r="L355" s="305"/>
      <c r="M355" s="305"/>
      <c r="N355" s="305"/>
      <c r="O355" s="305"/>
      <c r="P355" s="305"/>
      <c r="Q355" s="305"/>
      <c r="R355" s="305"/>
      <c r="S355" s="305"/>
      <c r="T355" s="305"/>
      <c r="U355" s="305"/>
      <c r="V355" s="305"/>
      <c r="W355" s="305"/>
      <c r="X355" s="305"/>
      <c r="Y355" s="305"/>
      <c r="Z355" s="305"/>
      <c r="AA355" s="305"/>
      <c r="AB355" s="305"/>
      <c r="AC355" s="305"/>
      <c r="AD355" s="305"/>
      <c r="AE355" s="305"/>
    </row>
    <row r="356" spans="1:31">
      <c r="A356" s="305"/>
      <c r="B356" s="305"/>
      <c r="C356" s="305"/>
      <c r="D356" s="305"/>
      <c r="E356" s="305"/>
      <c r="F356" s="305"/>
      <c r="G356" s="305"/>
      <c r="H356" s="305"/>
      <c r="I356" s="305"/>
      <c r="J356" s="305"/>
      <c r="K356" s="305"/>
      <c r="L356" s="305"/>
      <c r="M356" s="305"/>
      <c r="N356" s="305"/>
      <c r="O356" s="305"/>
      <c r="P356" s="305"/>
      <c r="Q356" s="305"/>
      <c r="R356" s="305"/>
      <c r="S356" s="305"/>
      <c r="T356" s="305"/>
      <c r="U356" s="305"/>
      <c r="V356" s="305"/>
      <c r="W356" s="305"/>
      <c r="X356" s="305"/>
      <c r="Y356" s="305"/>
      <c r="Z356" s="305"/>
      <c r="AA356" s="305"/>
      <c r="AB356" s="305"/>
      <c r="AC356" s="305"/>
      <c r="AD356" s="305"/>
      <c r="AE356" s="305"/>
    </row>
    <row r="357" spans="1:31">
      <c r="A357" s="305"/>
      <c r="B357" s="305"/>
      <c r="C357" s="305"/>
      <c r="D357" s="305"/>
      <c r="E357" s="305"/>
      <c r="F357" s="305"/>
      <c r="G357" s="305"/>
      <c r="H357" s="305"/>
      <c r="I357" s="305"/>
      <c r="J357" s="305"/>
      <c r="K357" s="305"/>
      <c r="L357" s="305"/>
      <c r="M357" s="305"/>
      <c r="N357" s="305"/>
      <c r="O357" s="305"/>
      <c r="P357" s="305"/>
      <c r="Q357" s="305"/>
      <c r="R357" s="305"/>
      <c r="S357" s="305"/>
      <c r="T357" s="305"/>
      <c r="U357" s="305"/>
      <c r="V357" s="305"/>
      <c r="W357" s="305"/>
      <c r="X357" s="305"/>
      <c r="Y357" s="305"/>
      <c r="Z357" s="305"/>
      <c r="AA357" s="305"/>
      <c r="AB357" s="305"/>
      <c r="AC357" s="305"/>
      <c r="AD357" s="305"/>
      <c r="AE357" s="305"/>
    </row>
    <row r="358" spans="1:31">
      <c r="A358" s="305"/>
      <c r="B358" s="305"/>
      <c r="C358" s="305"/>
      <c r="D358" s="305"/>
      <c r="E358" s="305"/>
      <c r="F358" s="305"/>
      <c r="G358" s="305"/>
      <c r="H358" s="305"/>
      <c r="I358" s="305"/>
      <c r="J358" s="305"/>
      <c r="K358" s="305"/>
      <c r="L358" s="305"/>
      <c r="M358" s="305"/>
      <c r="N358" s="305"/>
      <c r="O358" s="305"/>
      <c r="P358" s="305"/>
      <c r="Q358" s="305"/>
      <c r="R358" s="305"/>
      <c r="S358" s="305"/>
      <c r="T358" s="305"/>
      <c r="U358" s="305"/>
      <c r="V358" s="305"/>
      <c r="W358" s="305"/>
      <c r="X358" s="305"/>
      <c r="Y358" s="305"/>
      <c r="Z358" s="305"/>
      <c r="AA358" s="305"/>
      <c r="AB358" s="305"/>
      <c r="AC358" s="305"/>
      <c r="AD358" s="305"/>
      <c r="AE358" s="305"/>
    </row>
    <row r="359" spans="1:31">
      <c r="A359" s="305"/>
      <c r="B359" s="305"/>
      <c r="C359" s="305"/>
      <c r="D359" s="305"/>
      <c r="E359" s="305"/>
      <c r="F359" s="305"/>
      <c r="G359" s="305"/>
      <c r="H359" s="305"/>
      <c r="I359" s="305"/>
      <c r="J359" s="305"/>
      <c r="K359" s="305"/>
      <c r="L359" s="305"/>
      <c r="M359" s="305"/>
      <c r="N359" s="305"/>
      <c r="O359" s="305"/>
      <c r="P359" s="305"/>
      <c r="Q359" s="305"/>
      <c r="R359" s="305"/>
      <c r="S359" s="305"/>
      <c r="T359" s="305"/>
      <c r="U359" s="305"/>
      <c r="V359" s="305"/>
      <c r="W359" s="305"/>
      <c r="X359" s="305"/>
      <c r="Y359" s="305"/>
      <c r="Z359" s="305"/>
      <c r="AA359" s="305"/>
      <c r="AB359" s="305"/>
      <c r="AC359" s="305"/>
      <c r="AD359" s="305"/>
      <c r="AE359" s="305"/>
    </row>
    <row r="360" spans="1:31">
      <c r="A360" s="305"/>
      <c r="B360" s="305"/>
      <c r="C360" s="305"/>
      <c r="D360" s="305"/>
      <c r="E360" s="305"/>
      <c r="F360" s="305"/>
      <c r="G360" s="305"/>
      <c r="H360" s="305"/>
      <c r="I360" s="305"/>
      <c r="J360" s="305"/>
      <c r="K360" s="305"/>
      <c r="L360" s="305"/>
      <c r="M360" s="305"/>
      <c r="N360" s="305"/>
      <c r="O360" s="305"/>
      <c r="P360" s="305"/>
      <c r="Q360" s="305"/>
      <c r="R360" s="305"/>
      <c r="S360" s="305"/>
      <c r="T360" s="305"/>
      <c r="U360" s="305"/>
      <c r="V360" s="305"/>
      <c r="W360" s="305"/>
      <c r="X360" s="305"/>
      <c r="Y360" s="305"/>
      <c r="Z360" s="305"/>
      <c r="AA360" s="305"/>
      <c r="AB360" s="305"/>
      <c r="AC360" s="305"/>
      <c r="AD360" s="305"/>
      <c r="AE360" s="305"/>
    </row>
    <row r="361" spans="1:31">
      <c r="A361" s="305"/>
      <c r="B361" s="305"/>
      <c r="C361" s="305"/>
      <c r="D361" s="305"/>
      <c r="E361" s="305"/>
      <c r="F361" s="305"/>
      <c r="G361" s="305"/>
      <c r="H361" s="305"/>
      <c r="I361" s="305"/>
      <c r="J361" s="305"/>
      <c r="K361" s="305"/>
      <c r="L361" s="305"/>
      <c r="M361" s="305"/>
      <c r="N361" s="305"/>
      <c r="O361" s="305"/>
      <c r="P361" s="305"/>
      <c r="Q361" s="305"/>
      <c r="R361" s="305"/>
      <c r="S361" s="305"/>
      <c r="T361" s="305"/>
      <c r="U361" s="305"/>
      <c r="V361" s="305"/>
      <c r="W361" s="305"/>
      <c r="X361" s="305"/>
      <c r="Y361" s="305"/>
      <c r="Z361" s="305"/>
      <c r="AA361" s="305"/>
      <c r="AB361" s="305"/>
      <c r="AC361" s="305"/>
      <c r="AD361" s="305"/>
      <c r="AE361" s="305"/>
    </row>
    <row r="362" spans="1:31">
      <c r="A362" s="305"/>
      <c r="B362" s="305"/>
      <c r="C362" s="305"/>
      <c r="D362" s="305"/>
      <c r="E362" s="305"/>
      <c r="F362" s="305"/>
      <c r="G362" s="305"/>
      <c r="H362" s="305"/>
      <c r="I362" s="305"/>
      <c r="J362" s="305"/>
      <c r="K362" s="305"/>
      <c r="L362" s="305"/>
      <c r="M362" s="305"/>
      <c r="N362" s="305"/>
      <c r="O362" s="305"/>
      <c r="P362" s="305"/>
      <c r="Q362" s="305"/>
      <c r="R362" s="305"/>
      <c r="S362" s="305"/>
      <c r="T362" s="305"/>
      <c r="U362" s="305"/>
      <c r="V362" s="305"/>
      <c r="W362" s="305"/>
      <c r="X362" s="305"/>
      <c r="Y362" s="305"/>
      <c r="Z362" s="305"/>
      <c r="AA362" s="305"/>
      <c r="AB362" s="305"/>
      <c r="AC362" s="305"/>
      <c r="AD362" s="305"/>
      <c r="AE362" s="305"/>
    </row>
    <row r="363" spans="1:31">
      <c r="A363" s="305"/>
      <c r="B363" s="305"/>
      <c r="C363" s="305"/>
      <c r="D363" s="305"/>
      <c r="E363" s="305"/>
      <c r="F363" s="305"/>
      <c r="G363" s="305"/>
      <c r="H363" s="305"/>
      <c r="I363" s="305"/>
      <c r="J363" s="305"/>
      <c r="K363" s="305"/>
      <c r="L363" s="305"/>
      <c r="M363" s="305"/>
      <c r="N363" s="305"/>
      <c r="O363" s="305"/>
      <c r="P363" s="305"/>
      <c r="Q363" s="305"/>
      <c r="R363" s="305"/>
      <c r="S363" s="305"/>
      <c r="T363" s="305"/>
      <c r="U363" s="305"/>
      <c r="V363" s="305"/>
      <c r="W363" s="305"/>
      <c r="X363" s="305"/>
      <c r="Y363" s="305"/>
      <c r="Z363" s="305"/>
      <c r="AA363" s="305"/>
      <c r="AB363" s="305"/>
      <c r="AC363" s="305"/>
      <c r="AD363" s="305"/>
      <c r="AE363" s="305"/>
    </row>
    <row r="364" spans="1:31">
      <c r="A364" s="305"/>
      <c r="B364" s="305"/>
      <c r="C364" s="305"/>
      <c r="D364" s="305"/>
      <c r="E364" s="305"/>
      <c r="F364" s="305"/>
      <c r="G364" s="305"/>
      <c r="H364" s="305"/>
      <c r="I364" s="305"/>
      <c r="J364" s="305"/>
      <c r="K364" s="305"/>
      <c r="L364" s="305"/>
      <c r="M364" s="305"/>
      <c r="N364" s="305"/>
      <c r="O364" s="305"/>
      <c r="P364" s="305"/>
      <c r="Q364" s="305"/>
      <c r="R364" s="305"/>
      <c r="S364" s="305"/>
      <c r="T364" s="305"/>
      <c r="U364" s="305"/>
      <c r="V364" s="305"/>
      <c r="W364" s="305"/>
      <c r="X364" s="305"/>
      <c r="Y364" s="305"/>
      <c r="Z364" s="305"/>
      <c r="AA364" s="305"/>
      <c r="AB364" s="305"/>
      <c r="AC364" s="305"/>
      <c r="AD364" s="305"/>
      <c r="AE364" s="305"/>
    </row>
    <row r="365" spans="1:31">
      <c r="A365" s="305"/>
      <c r="B365" s="305"/>
      <c r="C365" s="305"/>
      <c r="D365" s="305"/>
      <c r="E365" s="305"/>
      <c r="F365" s="305"/>
      <c r="G365" s="305"/>
      <c r="H365" s="305"/>
      <c r="I365" s="305"/>
      <c r="J365" s="305"/>
      <c r="K365" s="305"/>
      <c r="L365" s="305"/>
      <c r="M365" s="305"/>
      <c r="N365" s="305"/>
      <c r="O365" s="305"/>
      <c r="P365" s="305"/>
      <c r="Q365" s="305"/>
      <c r="R365" s="305"/>
      <c r="S365" s="305"/>
      <c r="T365" s="305"/>
      <c r="U365" s="305"/>
      <c r="V365" s="305"/>
      <c r="W365" s="305"/>
      <c r="X365" s="305"/>
      <c r="Y365" s="305"/>
      <c r="Z365" s="305"/>
      <c r="AA365" s="305"/>
      <c r="AB365" s="305"/>
      <c r="AC365" s="305"/>
      <c r="AD365" s="305"/>
      <c r="AE365" s="305"/>
    </row>
    <row r="366" spans="1:31">
      <c r="A366" s="305"/>
      <c r="B366" s="305"/>
      <c r="C366" s="305"/>
      <c r="D366" s="305"/>
      <c r="E366" s="305"/>
      <c r="F366" s="305"/>
      <c r="G366" s="305"/>
      <c r="H366" s="305"/>
      <c r="I366" s="305"/>
      <c r="J366" s="305"/>
      <c r="K366" s="305"/>
      <c r="L366" s="305"/>
      <c r="M366" s="305"/>
      <c r="N366" s="305"/>
      <c r="O366" s="305"/>
      <c r="P366" s="305"/>
      <c r="Q366" s="305"/>
      <c r="R366" s="305"/>
      <c r="S366" s="305"/>
      <c r="T366" s="305"/>
      <c r="U366" s="305"/>
      <c r="V366" s="305"/>
      <c r="W366" s="305"/>
      <c r="X366" s="305"/>
      <c r="Y366" s="305"/>
      <c r="Z366" s="305"/>
      <c r="AA366" s="305"/>
      <c r="AB366" s="305"/>
      <c r="AC366" s="305"/>
      <c r="AD366" s="305"/>
      <c r="AE366" s="305"/>
    </row>
    <row r="367" spans="1:31">
      <c r="A367" s="305"/>
      <c r="B367" s="305"/>
      <c r="C367" s="305"/>
      <c r="D367" s="305"/>
      <c r="E367" s="305"/>
      <c r="F367" s="305"/>
      <c r="G367" s="305"/>
      <c r="H367" s="305"/>
      <c r="I367" s="305"/>
      <c r="J367" s="305"/>
      <c r="K367" s="305"/>
      <c r="L367" s="305"/>
      <c r="M367" s="305"/>
      <c r="N367" s="305"/>
      <c r="O367" s="305"/>
      <c r="P367" s="305"/>
      <c r="Q367" s="305"/>
      <c r="R367" s="305"/>
      <c r="S367" s="305"/>
      <c r="T367" s="305"/>
      <c r="U367" s="305"/>
      <c r="V367" s="305"/>
      <c r="W367" s="305"/>
      <c r="X367" s="305"/>
      <c r="Y367" s="305"/>
      <c r="Z367" s="305"/>
      <c r="AA367" s="305"/>
      <c r="AB367" s="305"/>
      <c r="AC367" s="305"/>
      <c r="AD367" s="305"/>
      <c r="AE367" s="305"/>
    </row>
    <row r="368" spans="1:31">
      <c r="A368" s="305"/>
      <c r="B368" s="305"/>
      <c r="C368" s="305"/>
      <c r="D368" s="305"/>
      <c r="E368" s="305"/>
      <c r="F368" s="305"/>
      <c r="G368" s="305"/>
      <c r="H368" s="305"/>
      <c r="I368" s="305"/>
      <c r="J368" s="305"/>
      <c r="K368" s="305"/>
      <c r="L368" s="305"/>
      <c r="M368" s="305"/>
      <c r="N368" s="305"/>
      <c r="O368" s="305"/>
      <c r="P368" s="305"/>
      <c r="Q368" s="305"/>
      <c r="R368" s="305"/>
      <c r="S368" s="305"/>
      <c r="T368" s="305"/>
      <c r="U368" s="305"/>
      <c r="V368" s="305"/>
      <c r="W368" s="305"/>
      <c r="X368" s="305"/>
      <c r="Y368" s="305"/>
      <c r="Z368" s="305"/>
      <c r="AA368" s="305"/>
      <c r="AB368" s="305"/>
      <c r="AC368" s="305"/>
      <c r="AD368" s="305"/>
      <c r="AE368" s="305"/>
    </row>
    <row r="369" spans="1:31">
      <c r="A369" s="305"/>
      <c r="B369" s="305"/>
      <c r="C369" s="305"/>
      <c r="D369" s="305"/>
      <c r="E369" s="305"/>
      <c r="F369" s="305"/>
      <c r="G369" s="305"/>
      <c r="H369" s="305"/>
      <c r="I369" s="305"/>
      <c r="J369" s="305"/>
      <c r="K369" s="305"/>
      <c r="L369" s="305"/>
      <c r="M369" s="305"/>
      <c r="N369" s="305"/>
      <c r="O369" s="305"/>
      <c r="P369" s="305"/>
      <c r="Q369" s="305"/>
      <c r="R369" s="305"/>
      <c r="S369" s="305"/>
      <c r="T369" s="305"/>
      <c r="U369" s="305"/>
      <c r="V369" s="305"/>
      <c r="W369" s="305"/>
      <c r="X369" s="305"/>
      <c r="Y369" s="305"/>
      <c r="Z369" s="305"/>
      <c r="AA369" s="305"/>
      <c r="AB369" s="305"/>
      <c r="AC369" s="305"/>
      <c r="AD369" s="305"/>
      <c r="AE369" s="305"/>
    </row>
    <row r="370" spans="1:31">
      <c r="A370" s="305"/>
      <c r="B370" s="305"/>
      <c r="C370" s="305"/>
      <c r="D370" s="305"/>
      <c r="E370" s="305"/>
      <c r="F370" s="305"/>
      <c r="G370" s="305"/>
      <c r="H370" s="305"/>
      <c r="I370" s="305"/>
      <c r="J370" s="305"/>
      <c r="K370" s="305"/>
      <c r="L370" s="305"/>
      <c r="M370" s="305"/>
      <c r="N370" s="305"/>
      <c r="O370" s="305"/>
      <c r="P370" s="305"/>
      <c r="Q370" s="305"/>
      <c r="R370" s="305"/>
      <c r="S370" s="305"/>
      <c r="T370" s="305"/>
      <c r="U370" s="305"/>
      <c r="V370" s="305"/>
      <c r="W370" s="305"/>
      <c r="X370" s="305"/>
      <c r="Y370" s="305"/>
      <c r="Z370" s="305"/>
      <c r="AA370" s="305"/>
      <c r="AB370" s="305"/>
      <c r="AC370" s="305"/>
      <c r="AD370" s="305"/>
      <c r="AE370" s="305"/>
    </row>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2:AG65"/>
  <sheetViews>
    <sheetView showGridLines="0" topLeftCell="V1" zoomScale="85" zoomScaleNormal="85" workbookViewId="0">
      <selection activeCell="AF13" sqref="AF13"/>
    </sheetView>
  </sheetViews>
  <sheetFormatPr defaultRowHeight="15"/>
  <cols>
    <col min="2" max="2" width="20.140625" bestFit="1" customWidth="1"/>
    <col min="3" max="3" width="11.140625" customWidth="1"/>
    <col min="8" max="8" width="17" customWidth="1"/>
    <col min="9" max="9" width="16.42578125" customWidth="1"/>
    <col min="21" max="21" width="10.28515625" bestFit="1" customWidth="1"/>
    <col min="24" max="24" width="10" bestFit="1" customWidth="1"/>
    <col min="25" max="25" width="31.140625" bestFit="1" customWidth="1"/>
    <col min="26" max="26" width="11.85546875" customWidth="1"/>
    <col min="31" max="31" width="27" bestFit="1" customWidth="1"/>
  </cols>
  <sheetData>
    <row r="2" spans="1:33" ht="15.75" thickBot="1"/>
    <row r="3" spans="1:33" ht="15.75" thickBot="1">
      <c r="I3" s="19" t="s">
        <v>49</v>
      </c>
      <c r="X3" s="326" t="s">
        <v>71</v>
      </c>
      <c r="Y3" s="329" t="s">
        <v>152</v>
      </c>
      <c r="Z3" s="327" t="s">
        <v>162</v>
      </c>
      <c r="AA3" s="327" t="s">
        <v>173</v>
      </c>
      <c r="AB3" s="327" t="s">
        <v>178</v>
      </c>
      <c r="AC3" s="327" t="s">
        <v>179</v>
      </c>
      <c r="AD3" s="327" t="s">
        <v>180</v>
      </c>
      <c r="AE3" s="330" t="s">
        <v>153</v>
      </c>
      <c r="AF3" s="407" t="str">
        <f>IF(Y14="NO_CONS","MVP","MVP_C")</f>
        <v>MVP_C</v>
      </c>
      <c r="AG3" s="408" t="str">
        <f>IF(Y14="NO_CONS","EP","EP_C")</f>
        <v>EP_C</v>
      </c>
    </row>
    <row r="4" spans="1:33">
      <c r="B4" s="100"/>
      <c r="C4" s="100"/>
      <c r="D4" s="100"/>
      <c r="E4" s="100"/>
      <c r="F4" s="100"/>
      <c r="G4" s="100"/>
      <c r="H4" s="246" t="str">
        <f ca="1">IF(T4&lt;0,REPT("n",ABS(T4)),"")</f>
        <v/>
      </c>
      <c r="I4" s="244" t="s">
        <v>2</v>
      </c>
      <c r="J4" s="245" t="str">
        <f ca="1">IF(T4&gt;0,REPT("n",T4),"")</f>
        <v>nnnnnnnnnnnnn</v>
      </c>
      <c r="K4" s="100"/>
      <c r="L4" s="100"/>
      <c r="M4" s="100"/>
      <c r="N4" s="100"/>
      <c r="O4" s="100"/>
      <c r="P4" s="100"/>
      <c r="Q4" s="100"/>
      <c r="R4" s="100"/>
      <c r="T4" s="277">
        <f ca="1">ROUND(U4*500,0)</f>
        <v>13</v>
      </c>
      <c r="U4" s="280">
        <f t="shared" ref="U4:U10" ca="1" si="0">HLOOKUP(I4,TAB_EA,2,FALSE)</f>
        <v>2.5389460648322662E-2</v>
      </c>
      <c r="X4" s="244" t="s">
        <v>2</v>
      </c>
      <c r="Y4" s="7" t="str">
        <f t="shared" ref="Y4:AD10" si="1">HLOOKUP(Y$3,TAB_FINDATA,MATCH($X4,COL_FINDATA,0),0)</f>
        <v>ADVANCED INFO SERVICE PCL</v>
      </c>
      <c r="Z4">
        <f t="shared" si="1"/>
        <v>0.63342050000000005</v>
      </c>
      <c r="AA4">
        <f t="shared" si="1"/>
        <v>20.499783643444395</v>
      </c>
      <c r="AB4">
        <f t="shared" si="1"/>
        <v>63.853620085963961</v>
      </c>
      <c r="AC4">
        <f t="shared" si="1"/>
        <v>27.527391026207393</v>
      </c>
      <c r="AD4">
        <f t="shared" si="1"/>
        <v>38.944415477662631</v>
      </c>
      <c r="AE4" s="328" t="str">
        <f t="shared" ref="AE4:AE10" si="2">HYPERLINK(HLOOKUP(AE$3,TAB_FINDATA,MATCH($X4,COL_FINDATA,0),0),Y4)</f>
        <v>ADVANCED INFO SERVICE PCL</v>
      </c>
      <c r="AF4" s="7">
        <f t="array" ref="AF4:AF10">IF(Y14="NO_CONS",W_MVP,W_MVP_C)</f>
        <v>0.70554976783695345</v>
      </c>
      <c r="AG4" s="7">
        <f t="array" ref="AG4:AG10">IF(Y14="NO_CONS",W_EP,W_EP_C)</f>
        <v>0.69975670086463682</v>
      </c>
    </row>
    <row r="5" spans="1:33">
      <c r="B5" s="100"/>
      <c r="C5" s="100"/>
      <c r="D5" s="100"/>
      <c r="E5" s="100"/>
      <c r="F5" s="100"/>
      <c r="G5" s="100"/>
      <c r="H5" s="246" t="str">
        <f t="shared" ref="H5:H10" ca="1" si="3">IF(T5&lt;0,REPT("n",ABS(T5)),"")</f>
        <v/>
      </c>
      <c r="I5" s="244" t="s">
        <v>3</v>
      </c>
      <c r="J5" s="245" t="str">
        <f t="shared" ref="J5:J10" ca="1" si="4">IF(T5&gt;0,REPT("n",T5),"")</f>
        <v>nnnnnnnnnn</v>
      </c>
      <c r="K5" s="100"/>
      <c r="L5" s="100"/>
      <c r="M5" s="100"/>
      <c r="N5" s="100"/>
      <c r="O5" s="100"/>
      <c r="P5" s="100"/>
      <c r="Q5" s="100"/>
      <c r="R5" s="100"/>
      <c r="T5" s="278">
        <f t="shared" ref="T5:T10" ca="1" si="5">ROUND(U5*500,0)</f>
        <v>10</v>
      </c>
      <c r="U5" s="281">
        <f t="shared" ca="1" si="0"/>
        <v>2.0979971157415317E-2</v>
      </c>
      <c r="X5" s="244" t="s">
        <v>3</v>
      </c>
      <c r="Y5" s="7" t="str">
        <f t="shared" si="1"/>
        <v>AIRPORTS OF THAILAND PCL</v>
      </c>
      <c r="Z5">
        <f t="shared" si="1"/>
        <v>0.97706150000000003</v>
      </c>
      <c r="AA5">
        <f t="shared" si="1"/>
        <v>23.031825795644892</v>
      </c>
      <c r="AB5">
        <f t="shared" si="1"/>
        <v>6.7483940955681856</v>
      </c>
      <c r="AC5">
        <f t="shared" si="1"/>
        <v>3.4526643044690553</v>
      </c>
      <c r="AD5">
        <f t="shared" si="1"/>
        <v>4.730938411956199</v>
      </c>
      <c r="AE5" s="328" t="str">
        <f t="shared" si="2"/>
        <v>AIRPORTS OF THAILAND PCL</v>
      </c>
      <c r="AF5" s="7">
        <v>-0.28405182794726669</v>
      </c>
      <c r="AG5" s="7">
        <v>0.16709105716988212</v>
      </c>
    </row>
    <row r="6" spans="1:33">
      <c r="B6" s="100"/>
      <c r="C6" s="100"/>
      <c r="D6" s="100"/>
      <c r="E6" s="100"/>
      <c r="F6" s="100"/>
      <c r="G6" s="100"/>
      <c r="H6" s="246" t="str">
        <f t="shared" ca="1" si="3"/>
        <v/>
      </c>
      <c r="I6" s="244" t="s">
        <v>4</v>
      </c>
      <c r="J6" s="245" t="str">
        <f t="shared" ca="1" si="4"/>
        <v>nnnnnn</v>
      </c>
      <c r="K6" s="100"/>
      <c r="L6" s="100"/>
      <c r="M6" s="100"/>
      <c r="N6" s="100"/>
      <c r="O6" s="100"/>
      <c r="P6" s="100"/>
      <c r="Q6" s="100"/>
      <c r="R6" s="100"/>
      <c r="T6" s="278">
        <f t="shared" ca="1" si="5"/>
        <v>6</v>
      </c>
      <c r="U6" s="281">
        <f t="shared" ca="1" si="0"/>
        <v>1.2149948755865926E-2</v>
      </c>
      <c r="X6" s="244" t="s">
        <v>4</v>
      </c>
      <c r="Y6" s="7" t="str">
        <f t="shared" si="1"/>
        <v>BANGKOK BANK PUBLIC CO LTD</v>
      </c>
      <c r="Z6">
        <f t="shared" si="1"/>
        <v>1.122179</v>
      </c>
      <c r="AA6">
        <f t="shared" si="1"/>
        <v>11.076540136901057</v>
      </c>
      <c r="AB6">
        <f t="shared" si="1"/>
        <v>12.402937054316849</v>
      </c>
      <c r="AC6">
        <f t="shared" si="1"/>
        <v>1.4024607019204378</v>
      </c>
      <c r="AD6">
        <f t="shared" si="1"/>
        <v>6.5456593968551759</v>
      </c>
      <c r="AE6" s="328" t="str">
        <f t="shared" si="2"/>
        <v>BANGKOK BANK PUBLIC CO LTD</v>
      </c>
      <c r="AF6" s="7">
        <v>0.15</v>
      </c>
      <c r="AG6" s="7">
        <v>0.15</v>
      </c>
    </row>
    <row r="7" spans="1:33">
      <c r="B7" s="100"/>
      <c r="C7" s="100"/>
      <c r="D7" s="100"/>
      <c r="E7" s="100"/>
      <c r="F7" s="100"/>
      <c r="G7" s="100"/>
      <c r="H7" s="246" t="str">
        <f t="shared" ca="1" si="3"/>
        <v/>
      </c>
      <c r="I7" s="244" t="s">
        <v>22</v>
      </c>
      <c r="J7" s="245" t="str">
        <f t="shared" ca="1" si="4"/>
        <v>nnnnnnnnnnn</v>
      </c>
      <c r="K7" s="100"/>
      <c r="L7" s="100"/>
      <c r="M7" s="100"/>
      <c r="N7" s="100"/>
      <c r="O7" s="100"/>
      <c r="P7" s="100"/>
      <c r="Q7" s="100"/>
      <c r="R7" s="100"/>
      <c r="T7" s="278">
        <f t="shared" ca="1" si="5"/>
        <v>11</v>
      </c>
      <c r="U7" s="281">
        <f t="shared" ca="1" si="0"/>
        <v>2.1142226781837539E-2</v>
      </c>
      <c r="X7" s="244" t="s">
        <v>22</v>
      </c>
      <c r="Y7" s="7" t="str">
        <f t="shared" si="1"/>
        <v>KASIKORNBANK PCL</v>
      </c>
      <c r="Z7">
        <f t="shared" si="1"/>
        <v>1.146595</v>
      </c>
      <c r="AA7">
        <f t="shared" si="1"/>
        <v>13.878029710711495</v>
      </c>
      <c r="AB7">
        <f t="shared" si="1"/>
        <v>18.641024432019421</v>
      </c>
      <c r="AC7">
        <f t="shared" si="1"/>
        <v>1.6176408244610117</v>
      </c>
      <c r="AD7">
        <f t="shared" si="1"/>
        <v>8.6893192117595444</v>
      </c>
      <c r="AE7" s="328" t="str">
        <f t="shared" si="2"/>
        <v>KASIKORNBANK PCL</v>
      </c>
      <c r="AF7" s="7">
        <v>0.52558223726883913</v>
      </c>
      <c r="AG7" s="7">
        <v>1.4238151491330842</v>
      </c>
    </row>
    <row r="8" spans="1:33">
      <c r="B8" s="100"/>
      <c r="C8" s="100"/>
      <c r="D8" s="100"/>
      <c r="E8" s="100"/>
      <c r="F8" s="100"/>
      <c r="G8" s="100"/>
      <c r="H8" s="246" t="str">
        <f t="shared" ca="1" si="3"/>
        <v/>
      </c>
      <c r="I8" s="244" t="s">
        <v>35</v>
      </c>
      <c r="J8" s="245" t="str">
        <f t="shared" ca="1" si="4"/>
        <v>nnnnnnnnn</v>
      </c>
      <c r="K8" s="100"/>
      <c r="L8" s="100"/>
      <c r="M8" s="100"/>
      <c r="N8" s="100"/>
      <c r="O8" s="100"/>
      <c r="P8" s="100"/>
      <c r="Q8" s="100"/>
      <c r="R8" s="100"/>
      <c r="T8" s="278">
        <f t="shared" ca="1" si="5"/>
        <v>9</v>
      </c>
      <c r="U8" s="281">
        <f t="shared" ca="1" si="0"/>
        <v>1.8819372469244935E-2</v>
      </c>
      <c r="X8" s="244" t="s">
        <v>35</v>
      </c>
      <c r="Y8" s="7" t="str">
        <f t="shared" si="1"/>
        <v>SIAM COMMERCIAL BANK PUB CO</v>
      </c>
      <c r="Z8">
        <f t="shared" si="1"/>
        <v>1.1539060000000001</v>
      </c>
      <c r="AA8">
        <f t="shared" si="1"/>
        <v>14.638289245093359</v>
      </c>
      <c r="AB8">
        <f t="shared" si="1"/>
        <v>19.360300621554877</v>
      </c>
      <c r="AC8">
        <f t="shared" si="1"/>
        <v>1.8795898134749689</v>
      </c>
      <c r="AD8">
        <f t="shared" si="1"/>
        <v>7.7445845459926179</v>
      </c>
      <c r="AE8" s="328" t="str">
        <f t="shared" si="2"/>
        <v>SIAM COMMERCIAL BANK PUB CO</v>
      </c>
      <c r="AF8" s="7">
        <v>-5.8271846113798105E-2</v>
      </c>
      <c r="AG8" s="7">
        <v>-0.38468893825533934</v>
      </c>
    </row>
    <row r="9" spans="1:33">
      <c r="B9" s="100"/>
      <c r="C9" s="100"/>
      <c r="D9" s="100"/>
      <c r="E9" s="100"/>
      <c r="F9" s="100"/>
      <c r="G9" s="100"/>
      <c r="H9" s="246" t="str">
        <f t="shared" ca="1" si="3"/>
        <v/>
      </c>
      <c r="I9" s="244" t="s">
        <v>7</v>
      </c>
      <c r="J9" s="245" t="str">
        <f t="shared" ca="1" si="4"/>
        <v>nnnnnn</v>
      </c>
      <c r="K9" s="100"/>
      <c r="L9" s="100"/>
      <c r="M9" s="100"/>
      <c r="N9" s="100"/>
      <c r="O9" s="100"/>
      <c r="P9" s="100"/>
      <c r="Q9" s="100"/>
      <c r="R9" s="100"/>
      <c r="T9" s="278">
        <f t="shared" ca="1" si="5"/>
        <v>6</v>
      </c>
      <c r="U9" s="281">
        <f t="shared" ca="1" si="0"/>
        <v>1.2337062479647734E-2</v>
      </c>
      <c r="X9" s="244" t="s">
        <v>7</v>
      </c>
      <c r="Y9" s="7" t="str">
        <f t="shared" si="1"/>
        <v>BANK OF AYUDHYA PCL</v>
      </c>
      <c r="Z9">
        <f t="shared" si="1"/>
        <v>1.174226</v>
      </c>
      <c r="AA9">
        <f t="shared" si="1"/>
        <v>15.787220378893286</v>
      </c>
      <c r="AB9">
        <f t="shared" si="1"/>
        <v>10.796900844724377</v>
      </c>
      <c r="AC9">
        <f t="shared" si="1"/>
        <v>1.1610875871034869</v>
      </c>
      <c r="AD9">
        <f t="shared" si="1"/>
        <v>3.4664814074040193</v>
      </c>
      <c r="AE9" s="328" t="str">
        <f t="shared" si="2"/>
        <v>BANK OF AYUDHYA PCL</v>
      </c>
      <c r="AF9" s="7">
        <v>-4.1779968765628138E-2</v>
      </c>
      <c r="AG9" s="7">
        <v>-0.74595290743658338</v>
      </c>
    </row>
    <row r="10" spans="1:33" ht="15.75" thickBot="1">
      <c r="B10" s="100"/>
      <c r="C10" s="100"/>
      <c r="D10" s="100"/>
      <c r="E10" s="100"/>
      <c r="F10" s="100"/>
      <c r="G10" s="100"/>
      <c r="H10" s="246" t="str">
        <f t="shared" ca="1" si="3"/>
        <v>nn</v>
      </c>
      <c r="I10" s="244" t="s">
        <v>8</v>
      </c>
      <c r="J10" s="245" t="str">
        <f t="shared" ca="1" si="4"/>
        <v/>
      </c>
      <c r="K10" s="100"/>
      <c r="L10" s="100"/>
      <c r="M10" s="100"/>
      <c r="N10" s="100"/>
      <c r="O10" s="100"/>
      <c r="P10" s="100"/>
      <c r="Q10" s="100"/>
      <c r="R10" s="100"/>
      <c r="T10" s="279">
        <f t="shared" ca="1" si="5"/>
        <v>-2</v>
      </c>
      <c r="U10" s="282">
        <f t="shared" ca="1" si="0"/>
        <v>-3.1365403520586493E-3</v>
      </c>
      <c r="X10" s="244" t="s">
        <v>44</v>
      </c>
      <c r="Y10" s="7" t="str">
        <f t="shared" si="1"/>
        <v>TMB BANK PCL</v>
      </c>
      <c r="Z10">
        <f t="shared" si="1"/>
        <v>1.096784</v>
      </c>
      <c r="AA10">
        <f t="shared" si="1"/>
        <v>20.777777830759685</v>
      </c>
      <c r="AB10">
        <f t="shared" si="1"/>
        <v>8.8917344555526086</v>
      </c>
      <c r="AC10">
        <f t="shared" si="1"/>
        <v>0.71071524701265287</v>
      </c>
      <c r="AD10">
        <f t="shared" si="1"/>
        <v>3.0662630132932129</v>
      </c>
      <c r="AE10" s="328" t="str">
        <f t="shared" si="2"/>
        <v>TMB BANK PCL</v>
      </c>
      <c r="AF10" s="7">
        <v>2.9716377209003213E-3</v>
      </c>
      <c r="AG10" s="7">
        <v>-0.31002106147567998</v>
      </c>
    </row>
    <row r="11" spans="1:33" ht="15.75" thickBot="1">
      <c r="X11" s="410" t="s">
        <v>315</v>
      </c>
    </row>
    <row r="12" spans="1:33" ht="15.75" thickBot="1">
      <c r="I12" s="19" t="s">
        <v>147</v>
      </c>
      <c r="Y12" s="409" t="s">
        <v>311</v>
      </c>
      <c r="Z12" s="433">
        <v>0.03</v>
      </c>
      <c r="AE12" s="73" t="s">
        <v>85</v>
      </c>
      <c r="AF12" s="434">
        <f>IF(Y14="NO_CONS",RP_MVP,RP_MVP_C)</f>
        <v>1.9744529464431369E-2</v>
      </c>
    </row>
    <row r="13" spans="1:33" ht="16.5" thickTop="1" thickBot="1">
      <c r="I13" s="19"/>
      <c r="Y13" s="409" t="s">
        <v>312</v>
      </c>
      <c r="Z13" s="433">
        <f>IF(Y14="NO_CONS",STD_EP,STD_EP_C)</f>
        <v>8.3524657415387282E-2</v>
      </c>
      <c r="AE13" s="73" t="s">
        <v>145</v>
      </c>
      <c r="AF13" s="435">
        <f>IF(Y14="NO_CONS",STD_MVP,STD_MVP_C)</f>
        <v>5.469686278596201E-2</v>
      </c>
    </row>
    <row r="14" spans="1:33" ht="15.75" thickBot="1">
      <c r="I14" s="19"/>
      <c r="Y14" s="410" t="s">
        <v>4</v>
      </c>
      <c r="Z14" s="378">
        <v>0.15</v>
      </c>
      <c r="AE14" s="73"/>
    </row>
    <row r="15" spans="1:33" ht="15.75" thickBot="1">
      <c r="A15" s="284">
        <v>1</v>
      </c>
      <c r="B15" s="285" t="s">
        <v>1</v>
      </c>
      <c r="C15" s="285" t="s">
        <v>22</v>
      </c>
      <c r="D15" s="285" t="s">
        <v>4</v>
      </c>
      <c r="E15" s="286" t="s">
        <v>35</v>
      </c>
      <c r="I15" s="20" t="s">
        <v>148</v>
      </c>
    </row>
    <row r="16" spans="1:33">
      <c r="A16" s="21">
        <v>2</v>
      </c>
      <c r="B16" s="287">
        <v>39719</v>
      </c>
      <c r="C16" s="7">
        <f t="shared" ref="C16:E35" ca="1" si="6">HLOOKUP(C$15,INDIRECT($I$15),$A16)</f>
        <v>64.5</v>
      </c>
      <c r="D16" s="7">
        <f t="shared" ca="1" si="6"/>
        <v>106</v>
      </c>
      <c r="E16" s="7">
        <f t="shared" ca="1" si="6"/>
        <v>36</v>
      </c>
    </row>
    <row r="17" spans="1:5">
      <c r="A17" s="21">
        <v>3</v>
      </c>
      <c r="B17" s="287">
        <v>39749</v>
      </c>
      <c r="C17" s="7">
        <f t="shared" ca="1" si="6"/>
        <v>48.75</v>
      </c>
      <c r="D17" s="7">
        <f t="shared" ca="1" si="6"/>
        <v>63.5</v>
      </c>
      <c r="E17" s="7">
        <f t="shared" ca="1" si="6"/>
        <v>28.75</v>
      </c>
    </row>
    <row r="18" spans="1:5">
      <c r="A18" s="21">
        <v>4</v>
      </c>
      <c r="B18" s="287">
        <v>39780</v>
      </c>
      <c r="C18" s="7">
        <f t="shared" ca="1" si="6"/>
        <v>42.5</v>
      </c>
      <c r="D18" s="7">
        <f t="shared" ca="1" si="6"/>
        <v>65.5</v>
      </c>
      <c r="E18" s="7">
        <f t="shared" ca="1" si="6"/>
        <v>30.75</v>
      </c>
    </row>
    <row r="19" spans="1:5">
      <c r="A19" s="21">
        <v>5</v>
      </c>
      <c r="B19" s="287">
        <v>39810</v>
      </c>
      <c r="C19" s="7">
        <f t="shared" ca="1" si="6"/>
        <v>45.75</v>
      </c>
      <c r="D19" s="7">
        <f t="shared" ca="1" si="6"/>
        <v>68.5</v>
      </c>
      <c r="E19" s="7">
        <f t="shared" ca="1" si="6"/>
        <v>43.25</v>
      </c>
    </row>
    <row r="20" spans="1:5">
      <c r="A20" s="21">
        <v>6</v>
      </c>
      <c r="B20" s="287">
        <v>39841</v>
      </c>
      <c r="C20" s="7">
        <f t="shared" ca="1" si="6"/>
        <v>47</v>
      </c>
      <c r="D20" s="7">
        <f t="shared" ca="1" si="6"/>
        <v>74.5</v>
      </c>
      <c r="E20" s="7">
        <f t="shared" ca="1" si="6"/>
        <v>39.75</v>
      </c>
    </row>
    <row r="21" spans="1:5">
      <c r="A21" s="21">
        <v>7</v>
      </c>
      <c r="B21" s="287">
        <v>39872</v>
      </c>
      <c r="C21" s="7">
        <f t="shared" ca="1" si="6"/>
        <v>44.5</v>
      </c>
      <c r="D21" s="7">
        <f t="shared" ca="1" si="6"/>
        <v>74.5</v>
      </c>
      <c r="E21" s="7">
        <f t="shared" ca="1" si="6"/>
        <v>38</v>
      </c>
    </row>
    <row r="22" spans="1:5">
      <c r="A22" s="21">
        <v>8</v>
      </c>
      <c r="B22" s="287">
        <v>39900</v>
      </c>
      <c r="C22" s="7">
        <f t="shared" ca="1" si="6"/>
        <v>46.5</v>
      </c>
      <c r="D22" s="7">
        <f t="shared" ca="1" si="6"/>
        <v>76.5</v>
      </c>
      <c r="E22" s="7">
        <f t="shared" ca="1" si="6"/>
        <v>40</v>
      </c>
    </row>
    <row r="23" spans="1:5">
      <c r="A23" s="21">
        <v>9</v>
      </c>
      <c r="B23" s="287">
        <v>39931</v>
      </c>
      <c r="C23" s="7">
        <f t="shared" ca="1" si="6"/>
        <v>51.25</v>
      </c>
      <c r="D23" s="7">
        <f t="shared" ca="1" si="6"/>
        <v>78.75</v>
      </c>
      <c r="E23" s="7">
        <f t="shared" ca="1" si="6"/>
        <v>37.5</v>
      </c>
    </row>
    <row r="24" spans="1:5">
      <c r="A24" s="21">
        <v>10</v>
      </c>
      <c r="B24" s="287">
        <v>39961</v>
      </c>
      <c r="C24" s="7">
        <f t="shared" ca="1" si="6"/>
        <v>55.75</v>
      </c>
      <c r="D24" s="7">
        <f t="shared" ca="1" si="6"/>
        <v>88.75</v>
      </c>
      <c r="E24" s="7">
        <f t="shared" ca="1" si="6"/>
        <v>37.75</v>
      </c>
    </row>
    <row r="25" spans="1:5">
      <c r="A25" s="21">
        <v>11</v>
      </c>
      <c r="B25" s="287">
        <v>39992</v>
      </c>
      <c r="C25" s="7">
        <f t="shared" ca="1" si="6"/>
        <v>66.25</v>
      </c>
      <c r="D25" s="7">
        <f t="shared" ca="1" si="6"/>
        <v>106</v>
      </c>
      <c r="E25" s="7">
        <f t="shared" ca="1" si="6"/>
        <v>37.5</v>
      </c>
    </row>
    <row r="26" spans="1:5">
      <c r="A26" s="21">
        <v>12</v>
      </c>
      <c r="B26" s="287">
        <v>40022</v>
      </c>
      <c r="C26" s="7">
        <f t="shared" ca="1" si="6"/>
        <v>72</v>
      </c>
      <c r="D26" s="7">
        <f t="shared" ca="1" si="6"/>
        <v>115</v>
      </c>
      <c r="E26" s="7">
        <f t="shared" ca="1" si="6"/>
        <v>37.5</v>
      </c>
    </row>
    <row r="27" spans="1:5">
      <c r="A27" s="21">
        <v>13</v>
      </c>
      <c r="B27" s="287">
        <v>40053</v>
      </c>
      <c r="C27" s="7">
        <f t="shared" ca="1" si="6"/>
        <v>73</v>
      </c>
      <c r="D27" s="7">
        <f t="shared" ca="1" si="6"/>
        <v>112</v>
      </c>
      <c r="E27" s="7">
        <f t="shared" ca="1" si="6"/>
        <v>37.25</v>
      </c>
    </row>
    <row r="28" spans="1:5">
      <c r="A28" s="21">
        <v>14</v>
      </c>
      <c r="B28" s="287">
        <v>40084</v>
      </c>
      <c r="C28" s="7">
        <f t="shared" ca="1" si="6"/>
        <v>79.25</v>
      </c>
      <c r="D28" s="7">
        <f t="shared" ca="1" si="6"/>
        <v>117</v>
      </c>
      <c r="E28" s="7">
        <f t="shared" ca="1" si="6"/>
        <v>37.75</v>
      </c>
    </row>
    <row r="29" spans="1:5">
      <c r="A29" s="21">
        <v>15</v>
      </c>
      <c r="B29" s="287">
        <v>40114</v>
      </c>
      <c r="C29" s="7">
        <f t="shared" ca="1" si="6"/>
        <v>81.75</v>
      </c>
      <c r="D29" s="7">
        <f t="shared" ca="1" si="6"/>
        <v>113</v>
      </c>
      <c r="E29" s="7">
        <f t="shared" ca="1" si="6"/>
        <v>37.75</v>
      </c>
    </row>
    <row r="30" spans="1:5">
      <c r="A30" s="21">
        <v>16</v>
      </c>
      <c r="B30" s="287">
        <v>40145</v>
      </c>
      <c r="C30" s="7">
        <f t="shared" ca="1" si="6"/>
        <v>81.25</v>
      </c>
      <c r="D30" s="7">
        <f t="shared" ca="1" si="6"/>
        <v>111.5</v>
      </c>
      <c r="E30" s="7">
        <f t="shared" ca="1" si="6"/>
        <v>36.75</v>
      </c>
    </row>
    <row r="31" spans="1:5">
      <c r="A31" s="21">
        <v>17</v>
      </c>
      <c r="B31" s="287">
        <v>40175</v>
      </c>
      <c r="C31" s="7">
        <f t="shared" ca="1" si="6"/>
        <v>84.75</v>
      </c>
      <c r="D31" s="7">
        <f t="shared" ca="1" si="6"/>
        <v>116</v>
      </c>
      <c r="E31" s="7">
        <f t="shared" ca="1" si="6"/>
        <v>35.25</v>
      </c>
    </row>
    <row r="32" spans="1:5">
      <c r="A32" s="21">
        <v>18</v>
      </c>
      <c r="B32" s="287">
        <v>40206</v>
      </c>
      <c r="C32" s="7">
        <f t="shared" ca="1" si="6"/>
        <v>81.5</v>
      </c>
      <c r="D32" s="7">
        <f t="shared" ca="1" si="6"/>
        <v>112</v>
      </c>
      <c r="E32" s="7">
        <f t="shared" ca="1" si="6"/>
        <v>34.5</v>
      </c>
    </row>
    <row r="33" spans="1:5">
      <c r="A33" s="21">
        <v>19</v>
      </c>
      <c r="B33" s="287">
        <v>40237</v>
      </c>
      <c r="C33" s="7">
        <f t="shared" ca="1" si="6"/>
        <v>86.5</v>
      </c>
      <c r="D33" s="7">
        <f t="shared" ca="1" si="6"/>
        <v>116.5</v>
      </c>
      <c r="E33" s="7">
        <f t="shared" ca="1" si="6"/>
        <v>35.5</v>
      </c>
    </row>
    <row r="34" spans="1:5">
      <c r="A34" s="21">
        <v>20</v>
      </c>
      <c r="B34" s="287">
        <v>40265</v>
      </c>
      <c r="C34" s="7">
        <f t="shared" ca="1" si="6"/>
        <v>98</v>
      </c>
      <c r="D34" s="7">
        <f t="shared" ca="1" si="6"/>
        <v>135</v>
      </c>
      <c r="E34" s="7">
        <f t="shared" ca="1" si="6"/>
        <v>36.25</v>
      </c>
    </row>
    <row r="35" spans="1:5">
      <c r="A35" s="21">
        <v>21</v>
      </c>
      <c r="B35" s="287">
        <v>40296</v>
      </c>
      <c r="C35" s="7">
        <f t="shared" ca="1" si="6"/>
        <v>89.75</v>
      </c>
      <c r="D35" s="7">
        <f t="shared" ca="1" si="6"/>
        <v>113</v>
      </c>
      <c r="E35" s="7">
        <f t="shared" ca="1" si="6"/>
        <v>36.25</v>
      </c>
    </row>
    <row r="36" spans="1:5">
      <c r="A36" s="21">
        <v>22</v>
      </c>
      <c r="B36" s="287">
        <v>40326</v>
      </c>
      <c r="C36" s="7">
        <f t="shared" ref="C36:E55" ca="1" si="7">HLOOKUP(C$15,INDIRECT($I$15),$A36)</f>
        <v>85.5</v>
      </c>
      <c r="D36" s="7">
        <f t="shared" ca="1" si="7"/>
        <v>113.5</v>
      </c>
      <c r="E36" s="7">
        <f t="shared" ca="1" si="7"/>
        <v>36</v>
      </c>
    </row>
    <row r="37" spans="1:5">
      <c r="A37" s="21">
        <v>23</v>
      </c>
      <c r="B37" s="287">
        <v>40357</v>
      </c>
      <c r="C37" s="7">
        <f t="shared" ca="1" si="7"/>
        <v>91.75</v>
      </c>
      <c r="D37" s="7">
        <f t="shared" ca="1" si="7"/>
        <v>125.5</v>
      </c>
      <c r="E37" s="7">
        <f t="shared" ca="1" si="7"/>
        <v>36.25</v>
      </c>
    </row>
    <row r="38" spans="1:5">
      <c r="A38" s="21">
        <v>24</v>
      </c>
      <c r="B38" s="287">
        <v>40387</v>
      </c>
      <c r="C38" s="7">
        <f t="shared" ca="1" si="7"/>
        <v>102</v>
      </c>
      <c r="D38" s="7">
        <f t="shared" ca="1" si="7"/>
        <v>141</v>
      </c>
      <c r="E38" s="7">
        <f t="shared" ca="1" si="7"/>
        <v>37.75</v>
      </c>
    </row>
    <row r="39" spans="1:5">
      <c r="A39" s="21">
        <v>25</v>
      </c>
      <c r="B39" s="287">
        <v>40418</v>
      </c>
      <c r="C39" s="7">
        <f t="shared" ca="1" si="7"/>
        <v>106</v>
      </c>
      <c r="D39" s="7">
        <f t="shared" ca="1" si="7"/>
        <v>142</v>
      </c>
      <c r="E39" s="7">
        <f t="shared" ca="1" si="7"/>
        <v>38</v>
      </c>
    </row>
    <row r="40" spans="1:5">
      <c r="A40" s="21">
        <v>26</v>
      </c>
      <c r="B40" s="287">
        <v>40449</v>
      </c>
      <c r="C40" s="7">
        <f t="shared" ca="1" si="7"/>
        <v>114.5</v>
      </c>
      <c r="D40" s="7">
        <f t="shared" ca="1" si="7"/>
        <v>153</v>
      </c>
      <c r="E40" s="7">
        <f t="shared" ca="1" si="7"/>
        <v>37.75</v>
      </c>
    </row>
    <row r="41" spans="1:5">
      <c r="A41" s="21">
        <v>27</v>
      </c>
      <c r="B41" s="287">
        <v>40479</v>
      </c>
      <c r="C41" s="7">
        <f t="shared" ca="1" si="7"/>
        <v>117.5</v>
      </c>
      <c r="D41" s="7">
        <f t="shared" ca="1" si="7"/>
        <v>151</v>
      </c>
      <c r="E41" s="7">
        <f t="shared" ca="1" si="7"/>
        <v>37</v>
      </c>
    </row>
    <row r="42" spans="1:5">
      <c r="A42" s="21">
        <v>28</v>
      </c>
      <c r="B42" s="287">
        <v>40510</v>
      </c>
      <c r="C42" s="7">
        <f t="shared" ca="1" si="7"/>
        <v>116</v>
      </c>
      <c r="D42" s="7">
        <f t="shared" ca="1" si="7"/>
        <v>147</v>
      </c>
      <c r="E42" s="7">
        <f t="shared" ca="1" si="7"/>
        <v>34.75</v>
      </c>
    </row>
    <row r="43" spans="1:5">
      <c r="A43" s="21">
        <v>29</v>
      </c>
      <c r="B43" s="287">
        <v>40540</v>
      </c>
      <c r="C43" s="7">
        <f t="shared" ca="1" si="7"/>
        <v>124.5</v>
      </c>
      <c r="D43" s="7">
        <f t="shared" ca="1" si="7"/>
        <v>145</v>
      </c>
      <c r="E43" s="7">
        <f t="shared" ca="1" si="7"/>
        <v>38.25</v>
      </c>
    </row>
    <row r="44" spans="1:5">
      <c r="A44" s="21">
        <v>30</v>
      </c>
      <c r="B44" s="287">
        <v>40571</v>
      </c>
      <c r="C44" s="7">
        <f t="shared" ca="1" si="7"/>
        <v>118.5</v>
      </c>
      <c r="D44" s="7">
        <f t="shared" ca="1" si="7"/>
        <v>153.5</v>
      </c>
      <c r="E44" s="7">
        <f t="shared" ca="1" si="7"/>
        <v>40.25</v>
      </c>
    </row>
    <row r="45" spans="1:5">
      <c r="A45" s="21">
        <v>31</v>
      </c>
      <c r="B45" s="287">
        <v>40602</v>
      </c>
      <c r="C45" s="7">
        <f t="shared" ca="1" si="7"/>
        <v>117.5</v>
      </c>
      <c r="D45" s="7">
        <f t="shared" ca="1" si="7"/>
        <v>160</v>
      </c>
      <c r="E45" s="7">
        <f t="shared" ca="1" si="7"/>
        <v>38.25</v>
      </c>
    </row>
    <row r="46" spans="1:5">
      <c r="A46" s="21">
        <v>32</v>
      </c>
      <c r="B46" s="287">
        <v>40630</v>
      </c>
      <c r="C46" s="7">
        <f t="shared" ca="1" si="7"/>
        <v>126.5</v>
      </c>
      <c r="D46" s="7">
        <f t="shared" ca="1" si="7"/>
        <v>165</v>
      </c>
      <c r="E46" s="7">
        <f t="shared" ca="1" si="7"/>
        <v>37.75</v>
      </c>
    </row>
    <row r="47" spans="1:5">
      <c r="A47" s="21">
        <v>33</v>
      </c>
      <c r="B47" s="287">
        <v>40661</v>
      </c>
      <c r="C47" s="7">
        <f t="shared" ca="1" si="7"/>
        <v>125</v>
      </c>
      <c r="D47" s="7">
        <f t="shared" ca="1" si="7"/>
        <v>171.5</v>
      </c>
      <c r="E47" s="7">
        <f t="shared" ca="1" si="7"/>
        <v>39.75</v>
      </c>
    </row>
    <row r="48" spans="1:5">
      <c r="A48" s="21">
        <v>34</v>
      </c>
      <c r="B48" s="287">
        <v>40691</v>
      </c>
      <c r="C48" s="7">
        <f t="shared" ca="1" si="7"/>
        <v>122</v>
      </c>
      <c r="D48" s="7">
        <f t="shared" ca="1" si="7"/>
        <v>161</v>
      </c>
      <c r="E48" s="7">
        <f t="shared" ca="1" si="7"/>
        <v>43</v>
      </c>
    </row>
    <row r="49" spans="1:5">
      <c r="A49" s="21">
        <v>35</v>
      </c>
      <c r="B49" s="287">
        <v>40722</v>
      </c>
      <c r="C49" s="7">
        <f t="shared" ca="1" si="7"/>
        <v>116.5</v>
      </c>
      <c r="D49" s="7">
        <f t="shared" ca="1" si="7"/>
        <v>152</v>
      </c>
      <c r="E49" s="7">
        <f t="shared" ca="1" si="7"/>
        <v>40.75</v>
      </c>
    </row>
    <row r="50" spans="1:5">
      <c r="A50" s="21">
        <v>36</v>
      </c>
      <c r="B50" s="287">
        <v>40752</v>
      </c>
      <c r="C50" s="7">
        <f t="shared" ca="1" si="7"/>
        <v>141</v>
      </c>
      <c r="D50" s="7">
        <f t="shared" ca="1" si="7"/>
        <v>173.5</v>
      </c>
      <c r="E50" s="7">
        <f t="shared" ca="1" si="7"/>
        <v>43</v>
      </c>
    </row>
    <row r="51" spans="1:5">
      <c r="A51" s="21">
        <v>37</v>
      </c>
      <c r="B51" s="287">
        <v>40783</v>
      </c>
      <c r="C51" s="7">
        <f t="shared" ca="1" si="7"/>
        <v>125</v>
      </c>
      <c r="D51" s="7">
        <f t="shared" ca="1" si="7"/>
        <v>152</v>
      </c>
      <c r="E51" s="7">
        <f t="shared" ca="1" si="7"/>
        <v>43.75</v>
      </c>
    </row>
    <row r="52" spans="1:5">
      <c r="A52" s="21">
        <v>38</v>
      </c>
      <c r="B52" s="287">
        <v>40814</v>
      </c>
      <c r="C52" s="7">
        <f t="shared" ca="1" si="7"/>
        <v>117</v>
      </c>
      <c r="D52" s="7">
        <f t="shared" ca="1" si="7"/>
        <v>145</v>
      </c>
      <c r="E52" s="7">
        <f t="shared" ca="1" si="7"/>
        <v>42.75</v>
      </c>
    </row>
    <row r="53" spans="1:5">
      <c r="A53" s="21">
        <v>39</v>
      </c>
      <c r="B53" s="287">
        <v>40844</v>
      </c>
      <c r="C53" s="7">
        <f t="shared" ca="1" si="7"/>
        <v>123</v>
      </c>
      <c r="D53" s="7">
        <f t="shared" ca="1" si="7"/>
        <v>148.5</v>
      </c>
      <c r="E53" s="7">
        <f t="shared" ca="1" si="7"/>
        <v>40.5</v>
      </c>
    </row>
    <row r="54" spans="1:5">
      <c r="A54" s="21">
        <v>40</v>
      </c>
      <c r="B54" s="287">
        <v>40875</v>
      </c>
      <c r="C54" s="7">
        <f t="shared" ca="1" si="7"/>
        <v>114.5</v>
      </c>
      <c r="D54" s="7">
        <f t="shared" ca="1" si="7"/>
        <v>141.5</v>
      </c>
      <c r="E54" s="7">
        <f t="shared" ca="1" si="7"/>
        <v>42.25</v>
      </c>
    </row>
    <row r="55" spans="1:5">
      <c r="A55" s="21">
        <v>41</v>
      </c>
      <c r="B55" s="287">
        <v>40905</v>
      </c>
      <c r="C55" s="7">
        <f t="shared" ca="1" si="7"/>
        <v>122.5</v>
      </c>
      <c r="D55" s="7">
        <f t="shared" ca="1" si="7"/>
        <v>152</v>
      </c>
      <c r="E55" s="7">
        <f t="shared" ca="1" si="7"/>
        <v>43.5</v>
      </c>
    </row>
    <row r="56" spans="1:5">
      <c r="A56" s="21">
        <v>42</v>
      </c>
      <c r="B56" s="287">
        <v>40936</v>
      </c>
      <c r="C56" s="7">
        <f t="shared" ref="C56:E65" ca="1" si="8">HLOOKUP(C$15,INDIRECT($I$15),$A56)</f>
        <v>126.5</v>
      </c>
      <c r="D56" s="7">
        <f t="shared" ca="1" si="8"/>
        <v>152.5</v>
      </c>
      <c r="E56" s="7">
        <f t="shared" ca="1" si="8"/>
        <v>43.75</v>
      </c>
    </row>
    <row r="57" spans="1:5">
      <c r="A57" s="21">
        <v>43</v>
      </c>
      <c r="B57" s="287">
        <v>40967</v>
      </c>
      <c r="C57" s="7">
        <f t="shared" ca="1" si="8"/>
        <v>145</v>
      </c>
      <c r="D57" s="7">
        <f t="shared" ca="1" si="8"/>
        <v>177</v>
      </c>
      <c r="E57" s="7">
        <f t="shared" ca="1" si="8"/>
        <v>42.5</v>
      </c>
    </row>
    <row r="58" spans="1:5">
      <c r="A58" s="21">
        <v>44</v>
      </c>
      <c r="B58" s="287">
        <v>40996</v>
      </c>
      <c r="C58" s="7">
        <f t="shared" ca="1" si="8"/>
        <v>153.5</v>
      </c>
      <c r="D58" s="7">
        <f t="shared" ca="1" si="8"/>
        <v>187</v>
      </c>
      <c r="E58" s="7">
        <f t="shared" ca="1" si="8"/>
        <v>41.5</v>
      </c>
    </row>
    <row r="59" spans="1:5">
      <c r="A59" s="21">
        <v>45</v>
      </c>
      <c r="B59" s="287">
        <v>41027</v>
      </c>
      <c r="C59" s="7">
        <f t="shared" ca="1" si="8"/>
        <v>155</v>
      </c>
      <c r="D59" s="7">
        <f t="shared" ca="1" si="8"/>
        <v>186</v>
      </c>
      <c r="E59" s="7">
        <f t="shared" ca="1" si="8"/>
        <v>42</v>
      </c>
    </row>
    <row r="60" spans="1:5">
      <c r="A60" s="21">
        <v>46</v>
      </c>
      <c r="B60" s="287">
        <v>41057</v>
      </c>
      <c r="C60" s="7">
        <f t="shared" ca="1" si="8"/>
        <v>149.5</v>
      </c>
      <c r="D60" s="7">
        <f t="shared" ca="1" si="8"/>
        <v>180.5</v>
      </c>
      <c r="E60" s="7">
        <f t="shared" ca="1" si="8"/>
        <v>40.5</v>
      </c>
    </row>
    <row r="61" spans="1:5">
      <c r="A61" s="21">
        <v>47</v>
      </c>
      <c r="B61" s="287">
        <v>41088</v>
      </c>
      <c r="C61" s="7">
        <f t="shared" ca="1" si="8"/>
        <v>162</v>
      </c>
      <c r="D61" s="7">
        <f t="shared" ca="1" si="8"/>
        <v>187.5</v>
      </c>
      <c r="E61" s="7">
        <f t="shared" ca="1" si="8"/>
        <v>43</v>
      </c>
    </row>
    <row r="62" spans="1:5">
      <c r="A62" s="21">
        <v>48</v>
      </c>
      <c r="B62" s="287">
        <v>41118</v>
      </c>
      <c r="C62" s="7">
        <f t="shared" ca="1" si="8"/>
        <v>166.5</v>
      </c>
      <c r="D62" s="7">
        <f t="shared" ca="1" si="8"/>
        <v>190.5</v>
      </c>
      <c r="E62" s="7">
        <f t="shared" ca="1" si="8"/>
        <v>44.75</v>
      </c>
    </row>
    <row r="63" spans="1:5">
      <c r="A63" s="21">
        <v>49</v>
      </c>
      <c r="B63" s="287">
        <v>41149</v>
      </c>
      <c r="C63" s="7">
        <f t="shared" ca="1" si="8"/>
        <v>173</v>
      </c>
      <c r="D63" s="7">
        <f t="shared" ca="1" si="8"/>
        <v>194.5</v>
      </c>
      <c r="E63" s="7">
        <f t="shared" ca="1" si="8"/>
        <v>48</v>
      </c>
    </row>
    <row r="64" spans="1:5">
      <c r="A64" s="21">
        <v>50</v>
      </c>
      <c r="B64" s="287">
        <v>41180</v>
      </c>
      <c r="C64" s="7">
        <f t="shared" ca="1" si="8"/>
        <v>182.5</v>
      </c>
      <c r="D64" s="7">
        <f t="shared" ca="1" si="8"/>
        <v>194</v>
      </c>
      <c r="E64" s="7">
        <f t="shared" ca="1" si="8"/>
        <v>48.5</v>
      </c>
    </row>
    <row r="65" spans="1:5">
      <c r="A65" s="21">
        <v>51</v>
      </c>
      <c r="B65" s="287">
        <v>41210</v>
      </c>
      <c r="C65" s="7">
        <f t="shared" ca="1" si="8"/>
        <v>175</v>
      </c>
      <c r="D65" s="7">
        <f t="shared" ca="1" si="8"/>
        <v>175</v>
      </c>
      <c r="E65" s="7">
        <f t="shared" ca="1" si="8"/>
        <v>54</v>
      </c>
    </row>
  </sheetData>
  <conditionalFormatting sqref="AF4:AG10">
    <cfRule type="cellIs" dxfId="2" priority="1" operator="equal">
      <formula>$Z$14</formula>
    </cfRule>
  </conditionalFormatting>
  <dataValidations count="5">
    <dataValidation type="list" allowBlank="1" showInputMessage="1" showErrorMessage="1" sqref="I15">
      <formula1>"TAB_PRICES,  TAB_MCAPS,TAB_RETURNS"</formula1>
    </dataValidation>
    <dataValidation type="list" allowBlank="1" showInputMessage="1" showErrorMessage="1" sqref="C15:E15 I4:I10 X4:X10">
      <formula1>STOCK_LISTS</formula1>
    </dataValidation>
    <dataValidation type="list" allowBlank="1" showInputMessage="1" showErrorMessage="1" sqref="I3">
      <formula1>SELECTIONS</formula1>
    </dataValidation>
    <dataValidation type="list" allowBlank="1" showInputMessage="1" showErrorMessage="1" sqref="Z3:AD3">
      <formula1>_xlnm.CRITERIA</formula1>
    </dataValidation>
    <dataValidation type="list" allowBlank="1" showInputMessage="1" showErrorMessage="1" sqref="Y14">
      <formula1>$X$4:$X$11</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dimension ref="B1:AB142"/>
  <sheetViews>
    <sheetView showGridLines="0" tabSelected="1" topLeftCell="O5" zoomScale="70" zoomScaleNormal="70" workbookViewId="0">
      <selection activeCell="W6" sqref="W6:Z6"/>
    </sheetView>
  </sheetViews>
  <sheetFormatPr defaultRowHeight="15"/>
  <cols>
    <col min="1" max="1" width="12.140625" customWidth="1"/>
    <col min="2" max="2" width="11.42578125" customWidth="1"/>
    <col min="3" max="9" width="9.5703125" bestFit="1" customWidth="1"/>
    <col min="23" max="23" width="11" customWidth="1"/>
  </cols>
  <sheetData>
    <row r="1" spans="2:28" ht="15.75" thickBot="1"/>
    <row r="2" spans="2:28" ht="15.75" thickBot="1">
      <c r="B2" s="336" t="s">
        <v>299</v>
      </c>
      <c r="C2" s="332" t="str">
        <f t="array" ref="C2:I2">TRANSPOSE(C13:C19)</f>
        <v>ADVANC</v>
      </c>
      <c r="D2" s="332" t="str">
        <v>AOT</v>
      </c>
      <c r="E2" s="332" t="str">
        <v>BBL</v>
      </c>
      <c r="F2" s="332" t="str">
        <v>KBANK</v>
      </c>
      <c r="G2" s="332" t="str">
        <v>SCB</v>
      </c>
      <c r="H2" s="332" t="str">
        <v>BAY</v>
      </c>
      <c r="I2" s="332" t="str">
        <v>TMB</v>
      </c>
    </row>
    <row r="3" spans="2:28">
      <c r="B3" s="332" t="str">
        <f t="array" ref="B3:B9">C13:C19</f>
        <v>ADVANC</v>
      </c>
      <c r="C3" s="90">
        <f t="shared" ref="C3:I9" si="0">MAX(HLOOKUP(C$2,TAB_COV,MATCH($B3,COL_COV,0),0),HLOOKUP($B3,TAB_COV,MATCH(C$2,COL_COV,0),0))</f>
        <v>4.3484082500237419E-3</v>
      </c>
      <c r="D3" s="103">
        <f t="shared" si="0"/>
        <v>5.4843867852412825E-3</v>
      </c>
      <c r="E3" s="103">
        <f t="shared" si="0"/>
        <v>3.6687308168707002E-3</v>
      </c>
      <c r="F3" s="103">
        <f t="shared" si="0"/>
        <v>2.1004442948880805E-3</v>
      </c>
      <c r="G3" s="103">
        <f t="shared" si="0"/>
        <v>2.9934701404329671E-3</v>
      </c>
      <c r="H3" s="103">
        <f t="shared" si="0"/>
        <v>3.1896037827751447E-3</v>
      </c>
      <c r="I3" s="91">
        <f t="shared" si="0"/>
        <v>4.048091233184713E-3</v>
      </c>
    </row>
    <row r="4" spans="2:28">
      <c r="B4" s="332" t="str">
        <v>AOT</v>
      </c>
      <c r="C4" s="104">
        <f t="shared" si="0"/>
        <v>5.4843867852412825E-3</v>
      </c>
      <c r="D4" s="102">
        <f t="shared" si="0"/>
        <v>2.2211200679338648E-2</v>
      </c>
      <c r="E4" s="102">
        <f t="shared" si="0"/>
        <v>1.1536267762564273E-2</v>
      </c>
      <c r="F4" s="102">
        <f t="shared" si="0"/>
        <v>8.8835384668527612E-3</v>
      </c>
      <c r="G4" s="102">
        <f t="shared" si="0"/>
        <v>9.9076453934492589E-3</v>
      </c>
      <c r="H4" s="102">
        <f t="shared" si="0"/>
        <v>1.3624593884490235E-2</v>
      </c>
      <c r="I4" s="105">
        <f t="shared" si="0"/>
        <v>1.8674246622968495E-2</v>
      </c>
    </row>
    <row r="5" spans="2:28">
      <c r="B5" s="332" t="str">
        <v>BBL</v>
      </c>
      <c r="C5" s="104">
        <f t="shared" si="0"/>
        <v>3.6687308168707002E-3</v>
      </c>
      <c r="D5" s="102">
        <f t="shared" si="0"/>
        <v>1.1536267762564273E-2</v>
      </c>
      <c r="E5" s="102">
        <f t="shared" si="0"/>
        <v>1.0457728931111396E-2</v>
      </c>
      <c r="F5" s="102">
        <f t="shared" si="0"/>
        <v>6.9724136120122467E-3</v>
      </c>
      <c r="G5" s="102">
        <f t="shared" si="0"/>
        <v>7.8451136020819077E-3</v>
      </c>
      <c r="H5" s="102">
        <f t="shared" si="0"/>
        <v>1.0379308898030818E-2</v>
      </c>
      <c r="I5" s="105">
        <f t="shared" si="0"/>
        <v>1.1649515810410087E-2</v>
      </c>
    </row>
    <row r="6" spans="2:28" ht="23.25">
      <c r="B6" s="332" t="str">
        <v>KBANK</v>
      </c>
      <c r="C6" s="104">
        <f t="shared" si="0"/>
        <v>2.1004442948880805E-3</v>
      </c>
      <c r="D6" s="102">
        <f t="shared" si="0"/>
        <v>8.8835384668527612E-3</v>
      </c>
      <c r="E6" s="102">
        <f t="shared" si="0"/>
        <v>6.9724136120122467E-3</v>
      </c>
      <c r="F6" s="102">
        <f t="shared" si="0"/>
        <v>6.6740016542331153E-3</v>
      </c>
      <c r="G6" s="102">
        <f t="shared" si="0"/>
        <v>6.04210430550149E-3</v>
      </c>
      <c r="H6" s="102">
        <f t="shared" si="0"/>
        <v>7.590429928232079E-3</v>
      </c>
      <c r="I6" s="105">
        <f t="shared" si="0"/>
        <v>8.6814577226001291E-3</v>
      </c>
      <c r="W6" s="625" t="s">
        <v>401</v>
      </c>
      <c r="X6" s="625"/>
      <c r="Y6" s="625"/>
      <c r="Z6" s="625"/>
    </row>
    <row r="7" spans="2:28">
      <c r="B7" s="332" t="str">
        <v>SCB</v>
      </c>
      <c r="C7" s="104">
        <f t="shared" si="0"/>
        <v>2.9934701404329671E-3</v>
      </c>
      <c r="D7" s="102">
        <f t="shared" si="0"/>
        <v>9.9076453934492589E-3</v>
      </c>
      <c r="E7" s="102">
        <f t="shared" si="0"/>
        <v>7.8451136020819077E-3</v>
      </c>
      <c r="F7" s="102">
        <f t="shared" si="0"/>
        <v>6.04210430550149E-3</v>
      </c>
      <c r="G7" s="102">
        <f t="shared" si="0"/>
        <v>7.8288219167804637E-3</v>
      </c>
      <c r="H7" s="102">
        <f t="shared" si="0"/>
        <v>8.4449196868403281E-3</v>
      </c>
      <c r="I7" s="105">
        <f t="shared" si="0"/>
        <v>9.3040704260986644E-3</v>
      </c>
    </row>
    <row r="8" spans="2:28">
      <c r="B8" s="332" t="str">
        <v>BAY</v>
      </c>
      <c r="C8" s="104">
        <f t="shared" si="0"/>
        <v>3.1896037827751447E-3</v>
      </c>
      <c r="D8" s="102">
        <f t="shared" si="0"/>
        <v>1.3624593884490235E-2</v>
      </c>
      <c r="E8" s="102">
        <f t="shared" si="0"/>
        <v>1.0379308898030818E-2</v>
      </c>
      <c r="F8" s="102">
        <f t="shared" si="0"/>
        <v>7.590429928232079E-3</v>
      </c>
      <c r="G8" s="102">
        <f t="shared" si="0"/>
        <v>8.4449196868403281E-3</v>
      </c>
      <c r="H8" s="102">
        <f t="shared" si="0"/>
        <v>1.4435044276271104E-2</v>
      </c>
      <c r="I8" s="105">
        <f t="shared" si="0"/>
        <v>1.2565100822637714E-2</v>
      </c>
    </row>
    <row r="9" spans="2:28" ht="15.75" thickBot="1">
      <c r="B9" s="332" t="str">
        <v>TMB</v>
      </c>
      <c r="C9" s="92">
        <f t="shared" si="0"/>
        <v>4.048091233184713E-3</v>
      </c>
      <c r="D9" s="106">
        <f t="shared" si="0"/>
        <v>1.8674246622968495E-2</v>
      </c>
      <c r="E9" s="106">
        <f t="shared" si="0"/>
        <v>1.1649515810410087E-2</v>
      </c>
      <c r="F9" s="106">
        <f t="shared" si="0"/>
        <v>8.6814577226001291E-3</v>
      </c>
      <c r="G9" s="106">
        <f t="shared" si="0"/>
        <v>9.3040704260986644E-3</v>
      </c>
      <c r="H9" s="106">
        <f t="shared" si="0"/>
        <v>1.2565100822637714E-2</v>
      </c>
      <c r="I9" s="93">
        <f t="shared" si="0"/>
        <v>2.4894909370816828E-2</v>
      </c>
      <c r="V9" s="8" t="s">
        <v>396</v>
      </c>
    </row>
    <row r="10" spans="2:28" ht="15.75" thickBot="1">
      <c r="V10" s="593">
        <v>5.0000000000000001E-3</v>
      </c>
    </row>
    <row r="11" spans="2:28" ht="15.75" thickBot="1">
      <c r="C11" s="619" t="s">
        <v>300</v>
      </c>
      <c r="D11" s="620"/>
      <c r="E11" s="621"/>
    </row>
    <row r="12" spans="2:28" ht="15.75" thickBot="1">
      <c r="C12" s="353" t="s">
        <v>71</v>
      </c>
      <c r="D12" s="352" t="s">
        <v>298</v>
      </c>
      <c r="E12" s="354" t="s">
        <v>64</v>
      </c>
      <c r="V12" s="8" t="s">
        <v>397</v>
      </c>
      <c r="X12" s="8" t="s">
        <v>398</v>
      </c>
      <c r="Z12" s="8" t="s">
        <v>400</v>
      </c>
      <c r="AB12" s="20">
        <f>SUM(Z12:Z19)</f>
        <v>1</v>
      </c>
    </row>
    <row r="13" spans="2:28">
      <c r="C13" s="397" t="str">
        <f>'Security Analysis'!X4</f>
        <v>ADVANC</v>
      </c>
      <c r="D13" s="355">
        <f t="array" ref="D13:D19">O21:O27</f>
        <v>0.76318993237504551</v>
      </c>
      <c r="E13" s="341">
        <f t="shared" ref="E13:E19" si="1">HLOOKUP(C13,TAB_PORT,2,0)</f>
        <v>2.0085753826333989E-2</v>
      </c>
      <c r="V13" s="594">
        <f t="shared" ref="V13:V19" si="2">E13-Rf</f>
        <v>1.5085753826333988E-2</v>
      </c>
      <c r="X13" s="594">
        <f t="array" ref="X13:X19">MMULT(MINVERSE(mVCM),V13:V19)</f>
        <v>5.4797663322273085</v>
      </c>
      <c r="Z13" s="594">
        <f>X13/$X$22</f>
        <v>0.81230358588598561</v>
      </c>
    </row>
    <row r="14" spans="2:28">
      <c r="C14" s="397" t="str">
        <f>'Security Analysis'!X5</f>
        <v>AOT</v>
      </c>
      <c r="D14" s="355">
        <v>-0.30046697321193139</v>
      </c>
      <c r="E14" s="341">
        <f t="shared" si="1"/>
        <v>1.8669098789688462E-2</v>
      </c>
      <c r="V14" s="595">
        <f t="shared" si="2"/>
        <v>1.3669098789688462E-2</v>
      </c>
      <c r="X14" s="595">
        <v>-0.9644042837418566</v>
      </c>
      <c r="Z14" s="595">
        <f t="shared" ref="Z14:Z19" si="3">X14/$X$22</f>
        <v>-0.14296030349325115</v>
      </c>
      <c r="AB14" s="390" t="s">
        <v>306</v>
      </c>
    </row>
    <row r="15" spans="2:28">
      <c r="C15" s="397" t="str">
        <f>'Security Analysis'!X6</f>
        <v>BBL</v>
      </c>
      <c r="D15" s="355">
        <v>-0.37007857636746866</v>
      </c>
      <c r="E15" s="341">
        <f t="shared" si="1"/>
        <v>1.0231568975743814E-2</v>
      </c>
      <c r="V15" s="595">
        <f t="shared" si="2"/>
        <v>5.2315689757438137E-3</v>
      </c>
      <c r="X15" s="595">
        <v>-5.6205040355005398</v>
      </c>
      <c r="Z15" s="595">
        <f t="shared" si="3"/>
        <v>-0.83316610704238248</v>
      </c>
      <c r="AB15" s="379">
        <v>0.02</v>
      </c>
    </row>
    <row r="16" spans="2:28">
      <c r="C16" s="397" t="str">
        <f>'Security Analysis'!X7</f>
        <v>KBANK</v>
      </c>
      <c r="D16" s="355">
        <v>0.61789343968108956</v>
      </c>
      <c r="E16" s="341">
        <f t="shared" si="1"/>
        <v>2.0369811226975253E-2</v>
      </c>
      <c r="V16" s="595">
        <f t="shared" si="2"/>
        <v>1.5369811226975252E-2</v>
      </c>
      <c r="X16" s="595">
        <v>7.0346099888056903</v>
      </c>
      <c r="Z16" s="595">
        <f t="shared" si="3"/>
        <v>1.0427887929472393</v>
      </c>
    </row>
    <row r="17" spans="3:28">
      <c r="C17" s="397" t="str">
        <f>'Security Analysis'!X8</f>
        <v>SCB</v>
      </c>
      <c r="D17" s="355">
        <v>0.1144727026022828</v>
      </c>
      <c r="E17" s="341">
        <f t="shared" si="1"/>
        <v>1.653350782651249E-2</v>
      </c>
      <c r="G17" s="406" t="s">
        <v>300</v>
      </c>
      <c r="V17" s="595">
        <f t="shared" si="2"/>
        <v>1.1533507826512489E-2</v>
      </c>
      <c r="X17" s="595">
        <v>0.96973706583293584</v>
      </c>
      <c r="Z17" s="595">
        <f t="shared" si="3"/>
        <v>0.14375081859055666</v>
      </c>
      <c r="AB17" s="406" t="s">
        <v>402</v>
      </c>
    </row>
    <row r="18" spans="3:28">
      <c r="C18" s="397" t="str">
        <f>'Security Analysis'!X9</f>
        <v>BAY</v>
      </c>
      <c r="D18" s="355">
        <v>0.11253250666132018</v>
      </c>
      <c r="E18" s="341">
        <f t="shared" si="1"/>
        <v>1.0425012729918182E-2</v>
      </c>
      <c r="F18" s="73" t="s">
        <v>85</v>
      </c>
      <c r="G18" s="378">
        <f t="array" ref="G18">MMULT(TRANSPOSE(D13:D19),E13:E19)</f>
        <v>2.2305762377910324E-2</v>
      </c>
      <c r="V18" s="595">
        <f t="shared" si="2"/>
        <v>5.4250127299181822E-3</v>
      </c>
      <c r="X18" s="595">
        <v>-0.12632173829089796</v>
      </c>
      <c r="Z18" s="595">
        <f t="shared" si="3"/>
        <v>-1.8725543165148042E-2</v>
      </c>
      <c r="AA18" s="73" t="s">
        <v>85</v>
      </c>
      <c r="AB18" s="378">
        <f t="array" ref="AB18">MMULT(TRANSPOSE(Z13:Z19),E13:E19)</f>
        <v>2.8499066214747456E-2</v>
      </c>
    </row>
    <row r="19" spans="3:28" ht="15.75" thickBot="1">
      <c r="C19" s="398" t="str">
        <f>'Security Analysis'!X10</f>
        <v>TMB</v>
      </c>
      <c r="D19" s="356">
        <v>6.245696825966187E-2</v>
      </c>
      <c r="E19" s="344">
        <f t="shared" si="1"/>
        <v>1.1532556197960172E-2</v>
      </c>
      <c r="F19" s="73" t="s">
        <v>145</v>
      </c>
      <c r="G19" s="378">
        <f t="array" ref="G19">SQRT(MMULT(MMULT(TRANSPOSE(D13:D19),C3:I9),D13:D19))</f>
        <v>5.0649310016659066E-2</v>
      </c>
      <c r="V19" s="596">
        <f t="shared" si="2"/>
        <v>6.5325561979601718E-3</v>
      </c>
      <c r="X19" s="596">
        <v>-2.6924764776402155E-2</v>
      </c>
      <c r="Z19" s="596">
        <f t="shared" si="3"/>
        <v>-3.9912437229998486E-3</v>
      </c>
      <c r="AA19" s="73" t="s">
        <v>145</v>
      </c>
      <c r="AB19" s="378">
        <f t="array" ref="AB19">SQRT(MMULT(MMULT(TRANSPOSE(Z13:Z19),mVCM),Z13:Z19))</f>
        <v>5.9020579295180481E-2</v>
      </c>
    </row>
    <row r="20" spans="3:28" ht="15.75" thickBot="1"/>
    <row r="21" spans="3:28" ht="15.75" thickBot="1">
      <c r="C21" s="380">
        <f t="array" ref="C21:I27">2*mVCM</f>
        <v>8.6968165000474839E-3</v>
      </c>
      <c r="D21" s="381">
        <v>1.0968773570482565E-2</v>
      </c>
      <c r="E21" s="381">
        <v>7.3374616337414005E-3</v>
      </c>
      <c r="F21" s="381">
        <v>4.2008885897761609E-3</v>
      </c>
      <c r="G21" s="381">
        <v>5.9869402808659343E-3</v>
      </c>
      <c r="H21" s="381">
        <v>6.3792075655502893E-3</v>
      </c>
      <c r="I21" s="382">
        <v>8.0961824663694261E-3</v>
      </c>
      <c r="J21" s="367">
        <v>1</v>
      </c>
      <c r="L21" s="345">
        <v>0</v>
      </c>
      <c r="N21" s="332" t="str">
        <f t="array" ref="N21:N27">C13:C19</f>
        <v>ADVANC</v>
      </c>
      <c r="O21" s="348">
        <f t="array" ref="O21:O28">MMULT(MINVERSE(C21:J28),L21:L28)</f>
        <v>0.76318993237504551</v>
      </c>
      <c r="Q21" s="20">
        <f>SUM(O21:O27)</f>
        <v>0.99999999999999989</v>
      </c>
      <c r="X21" s="8" t="s">
        <v>399</v>
      </c>
      <c r="AA21" s="73" t="s">
        <v>403</v>
      </c>
      <c r="AB21" s="598">
        <f>(AB18-Rf)/AB19</f>
        <v>0.39815038238139333</v>
      </c>
    </row>
    <row r="22" spans="3:28" ht="15.75" thickBot="1">
      <c r="C22" s="383">
        <v>1.0968773570482565E-2</v>
      </c>
      <c r="D22" s="384">
        <v>4.4422401358677296E-2</v>
      </c>
      <c r="E22" s="384">
        <v>2.3072535525128546E-2</v>
      </c>
      <c r="F22" s="384">
        <v>1.7767076933705522E-2</v>
      </c>
      <c r="G22" s="384">
        <v>1.9815290786898518E-2</v>
      </c>
      <c r="H22" s="384">
        <v>2.7249187768980471E-2</v>
      </c>
      <c r="I22" s="385">
        <v>3.7348493245936989E-2</v>
      </c>
      <c r="J22" s="368">
        <v>1</v>
      </c>
      <c r="L22" s="346">
        <v>0</v>
      </c>
      <c r="N22" s="332" t="str">
        <v>AOT</v>
      </c>
      <c r="O22" s="349">
        <v>-0.30046697321193139</v>
      </c>
      <c r="X22" s="597">
        <f>SUM(X13:X19)</f>
        <v>6.7459585645562381</v>
      </c>
    </row>
    <row r="23" spans="3:28">
      <c r="C23" s="383">
        <v>7.3374616337414005E-3</v>
      </c>
      <c r="D23" s="384">
        <v>2.3072535525128546E-2</v>
      </c>
      <c r="E23" s="384">
        <v>2.0915457862222792E-2</v>
      </c>
      <c r="F23" s="384">
        <v>1.3944827224024493E-2</v>
      </c>
      <c r="G23" s="384">
        <v>1.5690227204163815E-2</v>
      </c>
      <c r="H23" s="384">
        <v>2.0758617796061637E-2</v>
      </c>
      <c r="I23" s="385">
        <v>2.3299031620820174E-2</v>
      </c>
      <c r="J23" s="368">
        <v>1</v>
      </c>
      <c r="L23" s="346">
        <v>0</v>
      </c>
      <c r="N23" s="332" t="str">
        <v>BBL</v>
      </c>
      <c r="O23" s="349">
        <v>-0.37007857636746866</v>
      </c>
      <c r="AA23" s="616" t="s">
        <v>404</v>
      </c>
      <c r="AB23" s="617"/>
    </row>
    <row r="24" spans="3:28">
      <c r="C24" s="383">
        <v>4.2008885897761609E-3</v>
      </c>
      <c r="D24" s="384">
        <v>1.7767076933705522E-2</v>
      </c>
      <c r="E24" s="384">
        <v>1.3944827224024493E-2</v>
      </c>
      <c r="F24" s="384">
        <v>1.3348003308466231E-2</v>
      </c>
      <c r="G24" s="384">
        <v>1.208420861100298E-2</v>
      </c>
      <c r="H24" s="384">
        <v>1.5180859856464158E-2</v>
      </c>
      <c r="I24" s="385">
        <v>1.7362915445200258E-2</v>
      </c>
      <c r="J24" s="368">
        <v>1</v>
      </c>
      <c r="L24" s="346">
        <v>0</v>
      </c>
      <c r="N24" s="332" t="str">
        <v>KBANK</v>
      </c>
      <c r="O24" s="349">
        <v>0.61789343968108956</v>
      </c>
      <c r="AA24" s="599" t="s">
        <v>405</v>
      </c>
      <c r="AB24" s="600" t="s">
        <v>406</v>
      </c>
    </row>
    <row r="25" spans="3:28">
      <c r="C25" s="383">
        <v>5.9869402808659343E-3</v>
      </c>
      <c r="D25" s="384">
        <v>1.9815290786898518E-2</v>
      </c>
      <c r="E25" s="384">
        <v>1.5690227204163815E-2</v>
      </c>
      <c r="F25" s="384">
        <v>1.208420861100298E-2</v>
      </c>
      <c r="G25" s="384">
        <v>1.5657643833560927E-2</v>
      </c>
      <c r="H25" s="384">
        <v>1.6889839373680656E-2</v>
      </c>
      <c r="I25" s="385">
        <v>1.8608140852197329E-2</v>
      </c>
      <c r="J25" s="368">
        <v>1</v>
      </c>
      <c r="L25" s="346">
        <v>0</v>
      </c>
      <c r="N25" s="332" t="str">
        <v>SCB</v>
      </c>
      <c r="O25" s="349">
        <v>0.1144727026022828</v>
      </c>
      <c r="AA25" s="601" t="s">
        <v>407</v>
      </c>
      <c r="AB25" s="426" t="s">
        <v>408</v>
      </c>
    </row>
    <row r="26" spans="3:28">
      <c r="C26" s="383">
        <v>6.3792075655502893E-3</v>
      </c>
      <c r="D26" s="384">
        <v>2.7249187768980471E-2</v>
      </c>
      <c r="E26" s="384">
        <v>2.0758617796061637E-2</v>
      </c>
      <c r="F26" s="384">
        <v>1.5180859856464158E-2</v>
      </c>
      <c r="G26" s="384">
        <v>1.6889839373680656E-2</v>
      </c>
      <c r="H26" s="384">
        <v>2.8870088552542209E-2</v>
      </c>
      <c r="I26" s="385">
        <v>2.5130201645275428E-2</v>
      </c>
      <c r="J26" s="368">
        <v>1</v>
      </c>
      <c r="L26" s="346">
        <v>0</v>
      </c>
      <c r="N26" s="332" t="str">
        <v>BAY</v>
      </c>
      <c r="O26" s="349">
        <v>0.11253250666132018</v>
      </c>
      <c r="AA26" s="601">
        <v>0</v>
      </c>
      <c r="AB26" s="426">
        <f>Rf</f>
        <v>5.0000000000000001E-3</v>
      </c>
    </row>
    <row r="27" spans="3:28" ht="15.75" thickBot="1">
      <c r="C27" s="386">
        <v>8.0961824663694261E-3</v>
      </c>
      <c r="D27" s="387">
        <v>3.7348493245936989E-2</v>
      </c>
      <c r="E27" s="387">
        <v>2.3299031620820174E-2</v>
      </c>
      <c r="F27" s="387">
        <v>1.7362915445200258E-2</v>
      </c>
      <c r="G27" s="387">
        <v>1.8608140852197329E-2</v>
      </c>
      <c r="H27" s="387">
        <v>2.5130201645275428E-2</v>
      </c>
      <c r="I27" s="388">
        <v>4.9789818741633657E-2</v>
      </c>
      <c r="J27" s="368">
        <v>1</v>
      </c>
      <c r="L27" s="346">
        <v>0</v>
      </c>
      <c r="N27" s="332" t="str">
        <v>TMB</v>
      </c>
      <c r="O27" s="349">
        <v>6.245696825966187E-2</v>
      </c>
      <c r="AA27" s="602">
        <v>0.3</v>
      </c>
      <c r="AB27" s="427">
        <f>Rf+AB21*AA27</f>
        <v>0.12444511471441799</v>
      </c>
    </row>
    <row r="28" spans="3:28" ht="15.75" thickBot="1">
      <c r="C28" s="372">
        <v>1</v>
      </c>
      <c r="D28" s="373">
        <v>1</v>
      </c>
      <c r="E28" s="373">
        <v>1</v>
      </c>
      <c r="F28" s="373">
        <v>1</v>
      </c>
      <c r="G28" s="373">
        <v>1</v>
      </c>
      <c r="H28" s="373">
        <v>1</v>
      </c>
      <c r="I28" s="373">
        <v>1</v>
      </c>
      <c r="J28" s="389">
        <v>0</v>
      </c>
      <c r="L28" s="347">
        <v>1</v>
      </c>
      <c r="N28" s="351" t="s">
        <v>301</v>
      </c>
      <c r="O28" s="350">
        <v>-5.1307052103272801E-3</v>
      </c>
    </row>
    <row r="29" spans="3:28" ht="15.75" thickBot="1">
      <c r="W29" s="618" t="s">
        <v>410</v>
      </c>
      <c r="X29" s="618"/>
    </row>
    <row r="30" spans="3:28" ht="15.75" thickBot="1">
      <c r="C30" s="619" t="s">
        <v>304</v>
      </c>
      <c r="D30" s="620"/>
      <c r="E30" s="621"/>
      <c r="U30" s="645" t="s">
        <v>411</v>
      </c>
      <c r="V30" s="645">
        <f>1-X30</f>
        <v>0.63832323646061973</v>
      </c>
      <c r="W30" s="607" t="s">
        <v>409</v>
      </c>
      <c r="X30" s="608">
        <f>(AB15-Rm)/(Rf-Rm)</f>
        <v>0.36167676353938027</v>
      </c>
      <c r="Z30" s="20">
        <f>SUM(X30:X37)</f>
        <v>0.99999999999999978</v>
      </c>
    </row>
    <row r="31" spans="3:28">
      <c r="C31" s="353" t="s">
        <v>71</v>
      </c>
      <c r="D31" s="352" t="s">
        <v>298</v>
      </c>
      <c r="E31" s="354" t="s">
        <v>64</v>
      </c>
      <c r="W31" s="603" t="str">
        <f>C13</f>
        <v>ADVANC</v>
      </c>
      <c r="X31" s="604">
        <f>(1-$X$30)*Z13</f>
        <v>0.51851225393130929</v>
      </c>
    </row>
    <row r="32" spans="3:28">
      <c r="C32" s="334" t="str">
        <f>C13</f>
        <v>ADVANC</v>
      </c>
      <c r="D32" s="376">
        <f t="array" ref="D32:D38">P40:P46</f>
        <v>0.82420617355386483</v>
      </c>
      <c r="E32" s="341">
        <f t="shared" ref="E32:E38" si="4">HLOOKUP(C32,TAB_PORT,2,0)</f>
        <v>2.0085753826333989E-2</v>
      </c>
      <c r="G32" s="390" t="s">
        <v>306</v>
      </c>
      <c r="W32" s="603" t="str">
        <f t="shared" ref="W32:W37" si="5">C14</f>
        <v>AOT</v>
      </c>
      <c r="X32" s="604">
        <f t="shared" ref="X32:X37" si="6">(1-$X$30)*Z14</f>
        <v>-9.1254883611204513E-2</v>
      </c>
    </row>
    <row r="33" spans="3:26">
      <c r="C33" s="334" t="str">
        <f t="shared" ref="C33:C38" si="7">C14</f>
        <v>AOT</v>
      </c>
      <c r="D33" s="376">
        <v>-0.10478890286258025</v>
      </c>
      <c r="E33" s="341">
        <f t="shared" si="4"/>
        <v>1.8669098789688462E-2</v>
      </c>
      <c r="G33" s="379">
        <f>'Security Analysis'!Z12</f>
        <v>0.03</v>
      </c>
      <c r="W33" s="603" t="str">
        <f t="shared" si="5"/>
        <v>BBL</v>
      </c>
      <c r="X33" s="604">
        <f t="shared" si="6"/>
        <v>-0.53182928595658874</v>
      </c>
    </row>
    <row r="34" spans="3:26">
      <c r="C34" s="334" t="str">
        <f t="shared" si="7"/>
        <v>BBL</v>
      </c>
      <c r="D34" s="376">
        <v>-0.94539436818226052</v>
      </c>
      <c r="E34" s="341">
        <f t="shared" si="4"/>
        <v>1.0231568975743814E-2</v>
      </c>
      <c r="W34" s="603" t="str">
        <f t="shared" si="5"/>
        <v>KBANK</v>
      </c>
      <c r="X34" s="604">
        <f t="shared" si="6"/>
        <v>0.66563631725894479</v>
      </c>
    </row>
    <row r="35" spans="3:26">
      <c r="C35" s="334" t="str">
        <f t="shared" si="7"/>
        <v>KBANK</v>
      </c>
      <c r="D35" s="376">
        <v>1.1457612625232929</v>
      </c>
      <c r="E35" s="341">
        <f t="shared" si="4"/>
        <v>2.0369811226975253E-2</v>
      </c>
      <c r="W35" s="603" t="str">
        <f t="shared" si="5"/>
        <v>SCB</v>
      </c>
      <c r="X35" s="604">
        <f t="shared" si="6"/>
        <v>9.1759487766587544E-2</v>
      </c>
    </row>
    <row r="36" spans="3:26">
      <c r="C36" s="334" t="str">
        <f t="shared" si="7"/>
        <v>SCB</v>
      </c>
      <c r="D36" s="376">
        <v>0.150846306655258</v>
      </c>
      <c r="E36" s="341">
        <f t="shared" si="4"/>
        <v>1.653350782651249E-2</v>
      </c>
      <c r="G36" s="406" t="s">
        <v>308</v>
      </c>
      <c r="W36" s="603" t="str">
        <f t="shared" si="5"/>
        <v>BAY</v>
      </c>
      <c r="X36" s="604">
        <f t="shared" si="6"/>
        <v>-1.1952949317660335E-2</v>
      </c>
      <c r="Y36" s="73"/>
    </row>
    <row r="37" spans="3:26">
      <c r="C37" s="334" t="str">
        <f t="shared" si="7"/>
        <v>BAY</v>
      </c>
      <c r="D37" s="376">
        <v>-5.0535647555490781E-2</v>
      </c>
      <c r="E37" s="341">
        <f t="shared" si="4"/>
        <v>1.0425012729918182E-2</v>
      </c>
      <c r="F37" s="73" t="s">
        <v>85</v>
      </c>
      <c r="G37" s="378">
        <f t="array" ref="G37">MMULT(TRANSPOSE(D32:D38),E32:E38)</f>
        <v>0.03</v>
      </c>
      <c r="W37" s="605" t="str">
        <f t="shared" si="5"/>
        <v>TMB</v>
      </c>
      <c r="X37" s="606">
        <f t="shared" si="6"/>
        <v>-2.5477036107683965E-3</v>
      </c>
      <c r="Y37" s="73" t="s">
        <v>145</v>
      </c>
      <c r="Z37">
        <f t="array" ref="Z37">SQRT(MMULT(MMULT(TRANSPOSE(X31:X37),mVCM),X31:X37))</f>
        <v>3.767420719348024E-2</v>
      </c>
    </row>
    <row r="38" spans="3:26" ht="15.75" thickBot="1">
      <c r="C38" s="335" t="str">
        <f t="shared" si="7"/>
        <v>TMB</v>
      </c>
      <c r="D38" s="377">
        <v>-2.0094824132084244E-2</v>
      </c>
      <c r="E38" s="344">
        <f t="shared" si="4"/>
        <v>1.1532556197960172E-2</v>
      </c>
      <c r="F38" s="73" t="s">
        <v>145</v>
      </c>
      <c r="G38" s="378">
        <f t="array" ref="G38">SQRT(MMULT(MMULT(TRANSPOSE(D32:D38),C3:I9),D32:D38))</f>
        <v>6.3105762135818505E-2</v>
      </c>
    </row>
    <row r="39" spans="3:26" ht="15.75" thickBot="1"/>
    <row r="40" spans="3:26" ht="15.75" thickBot="1">
      <c r="C40" s="357">
        <f t="array" ref="C40:I46">2*mVCM</f>
        <v>8.6968165000474839E-3</v>
      </c>
      <c r="D40" s="358">
        <v>1.0968773570482565E-2</v>
      </c>
      <c r="E40" s="358">
        <v>7.3374616337414005E-3</v>
      </c>
      <c r="F40" s="358">
        <v>4.2008885897761609E-3</v>
      </c>
      <c r="G40" s="358">
        <v>5.9869402808659343E-3</v>
      </c>
      <c r="H40" s="358">
        <v>6.3792075655502893E-3</v>
      </c>
      <c r="I40" s="359">
        <v>8.0961824663694261E-3</v>
      </c>
      <c r="J40" s="366">
        <f t="array" ref="J40:J46">E13:E19</f>
        <v>2.0085753826333989E-2</v>
      </c>
      <c r="K40" s="367">
        <v>1</v>
      </c>
      <c r="M40" s="345">
        <v>0</v>
      </c>
      <c r="O40" s="332" t="str">
        <f t="array" ref="O40:O46">C13:C19</f>
        <v>ADVANC</v>
      </c>
      <c r="P40" s="345">
        <f t="array" ref="P40:P48">MMULT(MINVERSE(C40:K48),M40:M48)</f>
        <v>0.82420617355386483</v>
      </c>
      <c r="R40" s="20">
        <f>SUM(P40:P46)</f>
        <v>1</v>
      </c>
    </row>
    <row r="41" spans="3:26">
      <c r="C41" s="360">
        <v>1.0968773570482565E-2</v>
      </c>
      <c r="D41" s="361">
        <v>4.4422401358677296E-2</v>
      </c>
      <c r="E41" s="361">
        <v>2.3072535525128546E-2</v>
      </c>
      <c r="F41" s="361">
        <v>1.7767076933705522E-2</v>
      </c>
      <c r="G41" s="361">
        <v>1.9815290786898518E-2</v>
      </c>
      <c r="H41" s="361">
        <v>2.7249187768980471E-2</v>
      </c>
      <c r="I41" s="362">
        <v>3.7348493245936989E-2</v>
      </c>
      <c r="J41" s="98">
        <v>1.8669098789688462E-2</v>
      </c>
      <c r="K41" s="368">
        <v>1</v>
      </c>
      <c r="M41" s="346">
        <v>0</v>
      </c>
      <c r="O41" s="332" t="str">
        <v>AOT</v>
      </c>
      <c r="P41" s="346">
        <v>-0.10478890286258025</v>
      </c>
    </row>
    <row r="42" spans="3:26">
      <c r="C42" s="360">
        <v>7.3374616337414005E-3</v>
      </c>
      <c r="D42" s="361">
        <v>2.3072535525128546E-2</v>
      </c>
      <c r="E42" s="361">
        <v>2.0915457862222792E-2</v>
      </c>
      <c r="F42" s="361">
        <v>1.3944827224024493E-2</v>
      </c>
      <c r="G42" s="361">
        <v>1.5690227204163815E-2</v>
      </c>
      <c r="H42" s="361">
        <v>2.0758617796061637E-2</v>
      </c>
      <c r="I42" s="362">
        <v>2.3299031620820174E-2</v>
      </c>
      <c r="J42" s="98">
        <v>1.0231568975743814E-2</v>
      </c>
      <c r="K42" s="368">
        <v>1</v>
      </c>
      <c r="M42" s="346">
        <v>0</v>
      </c>
      <c r="O42" s="332" t="str">
        <v>BBL</v>
      </c>
      <c r="P42" s="346">
        <v>-0.94539436818226052</v>
      </c>
    </row>
    <row r="43" spans="3:26">
      <c r="C43" s="360">
        <v>4.2008885897761609E-3</v>
      </c>
      <c r="D43" s="361">
        <v>1.7767076933705522E-2</v>
      </c>
      <c r="E43" s="361">
        <v>1.3944827224024493E-2</v>
      </c>
      <c r="F43" s="361">
        <v>1.3348003308466231E-2</v>
      </c>
      <c r="G43" s="361">
        <v>1.208420861100298E-2</v>
      </c>
      <c r="H43" s="361">
        <v>1.5180859856464158E-2</v>
      </c>
      <c r="I43" s="362">
        <v>1.7362915445200258E-2</v>
      </c>
      <c r="J43" s="98">
        <v>2.0369811226975253E-2</v>
      </c>
      <c r="K43" s="368">
        <v>1</v>
      </c>
      <c r="M43" s="346">
        <v>0</v>
      </c>
      <c r="O43" s="332" t="str">
        <v>KBANK</v>
      </c>
      <c r="P43" s="346">
        <v>1.1457612625232929</v>
      </c>
    </row>
    <row r="44" spans="3:26">
      <c r="C44" s="360">
        <v>5.9869402808659343E-3</v>
      </c>
      <c r="D44" s="361">
        <v>1.9815290786898518E-2</v>
      </c>
      <c r="E44" s="361">
        <v>1.5690227204163815E-2</v>
      </c>
      <c r="F44" s="361">
        <v>1.208420861100298E-2</v>
      </c>
      <c r="G44" s="361">
        <v>1.5657643833560927E-2</v>
      </c>
      <c r="H44" s="361">
        <v>1.6889839373680656E-2</v>
      </c>
      <c r="I44" s="362">
        <v>1.8608140852197329E-2</v>
      </c>
      <c r="J44" s="98">
        <v>1.653350782651249E-2</v>
      </c>
      <c r="K44" s="368">
        <v>1</v>
      </c>
      <c r="M44" s="346">
        <v>0</v>
      </c>
      <c r="O44" s="332" t="str">
        <v>SCB</v>
      </c>
      <c r="P44" s="346">
        <v>0.150846306655258</v>
      </c>
    </row>
    <row r="45" spans="3:26">
      <c r="C45" s="360">
        <v>6.3792075655502893E-3</v>
      </c>
      <c r="D45" s="361">
        <v>2.7249187768980471E-2</v>
      </c>
      <c r="E45" s="361">
        <v>2.0758617796061637E-2</v>
      </c>
      <c r="F45" s="361">
        <v>1.5180859856464158E-2</v>
      </c>
      <c r="G45" s="361">
        <v>1.6889839373680656E-2</v>
      </c>
      <c r="H45" s="361">
        <v>2.8870088552542209E-2</v>
      </c>
      <c r="I45" s="362">
        <v>2.5130201645275428E-2</v>
      </c>
      <c r="J45" s="98">
        <v>1.0425012729918182E-2</v>
      </c>
      <c r="K45" s="368">
        <v>1</v>
      </c>
      <c r="M45" s="346">
        <v>0</v>
      </c>
      <c r="O45" s="332" t="str">
        <v>BAY</v>
      </c>
      <c r="P45" s="346">
        <v>-5.0535647555490781E-2</v>
      </c>
    </row>
    <row r="46" spans="3:26" ht="15.75" thickBot="1">
      <c r="C46" s="363">
        <v>8.0961824663694261E-3</v>
      </c>
      <c r="D46" s="364">
        <v>3.7348493245936989E-2</v>
      </c>
      <c r="E46" s="364">
        <v>2.3299031620820174E-2</v>
      </c>
      <c r="F46" s="364">
        <v>1.7362915445200258E-2</v>
      </c>
      <c r="G46" s="364">
        <v>1.8608140852197329E-2</v>
      </c>
      <c r="H46" s="364">
        <v>2.5130201645275428E-2</v>
      </c>
      <c r="I46" s="365">
        <v>4.9789818741633657E-2</v>
      </c>
      <c r="J46" s="98">
        <v>1.1532556197960172E-2</v>
      </c>
      <c r="K46" s="368">
        <v>1</v>
      </c>
      <c r="M46" s="346">
        <v>0</v>
      </c>
      <c r="O46" s="332" t="str">
        <v>TMB</v>
      </c>
      <c r="P46" s="346">
        <v>-2.0094824132084244E-2</v>
      </c>
    </row>
    <row r="47" spans="3:26" ht="16.5">
      <c r="C47" s="369">
        <f t="array" ref="C47:I48">TRANSPOSE(J40:K46)</f>
        <v>2.0085753826333989E-2</v>
      </c>
      <c r="D47" s="98">
        <v>1.8669098789688462E-2</v>
      </c>
      <c r="E47" s="98">
        <v>1.0231568975743814E-2</v>
      </c>
      <c r="F47" s="98">
        <v>2.0369811226975253E-2</v>
      </c>
      <c r="G47" s="98">
        <v>1.653350782651249E-2</v>
      </c>
      <c r="H47" s="98">
        <v>1.0425012729918182E-2</v>
      </c>
      <c r="I47" s="98">
        <v>1.1532556197960172E-2</v>
      </c>
      <c r="J47" s="370">
        <v>0</v>
      </c>
      <c r="K47" s="371">
        <v>0</v>
      </c>
      <c r="M47" s="395">
        <f>G33</f>
        <v>0.03</v>
      </c>
      <c r="O47" s="351" t="s">
        <v>309</v>
      </c>
      <c r="P47" s="346">
        <v>-0.36832358946409105</v>
      </c>
      <c r="R47" s="390" t="s">
        <v>144</v>
      </c>
      <c r="S47" s="333">
        <f>ABS(SUMPRODUCT(M47:M48,P47:P48))/2</f>
        <v>3.9823372147424962E-3</v>
      </c>
    </row>
    <row r="48" spans="3:26" ht="17.25" thickBot="1">
      <c r="C48" s="372">
        <v>1</v>
      </c>
      <c r="D48" s="373">
        <v>1</v>
      </c>
      <c r="E48" s="373">
        <v>1</v>
      </c>
      <c r="F48" s="373">
        <v>1</v>
      </c>
      <c r="G48" s="373">
        <v>1</v>
      </c>
      <c r="H48" s="373">
        <v>1</v>
      </c>
      <c r="I48" s="373">
        <v>1</v>
      </c>
      <c r="J48" s="374">
        <v>0</v>
      </c>
      <c r="K48" s="375">
        <v>0</v>
      </c>
      <c r="M48" s="347">
        <v>1</v>
      </c>
      <c r="O48" s="351" t="s">
        <v>310</v>
      </c>
      <c r="P48" s="347">
        <v>3.0850332544377392E-3</v>
      </c>
      <c r="R48" s="390" t="s">
        <v>307</v>
      </c>
      <c r="S48" s="333">
        <f>SQRT(S47)</f>
        <v>6.3105762135818436E-2</v>
      </c>
    </row>
    <row r="50" spans="3:16">
      <c r="M50" s="622" t="s">
        <v>303</v>
      </c>
      <c r="N50" s="623"/>
      <c r="O50" s="623"/>
      <c r="P50" s="624"/>
    </row>
    <row r="51" spans="3:16" ht="15.75" thickBot="1">
      <c r="M51" s="399" t="s">
        <v>305</v>
      </c>
      <c r="N51" s="396">
        <v>1</v>
      </c>
      <c r="O51" s="396" t="s">
        <v>307</v>
      </c>
      <c r="P51" s="400" t="s">
        <v>305</v>
      </c>
    </row>
    <row r="52" spans="3:16">
      <c r="C52" s="337">
        <f t="array" ref="C52:K60">MINVERSE(C40:K48)</f>
        <v>91.628154525190538</v>
      </c>
      <c r="D52" s="338">
        <v>-17.39587974428855</v>
      </c>
      <c r="E52" s="338">
        <v>-22.765502968724142</v>
      </c>
      <c r="F52" s="338">
        <v>-44.904972347672981</v>
      </c>
      <c r="G52" s="338">
        <v>-51.751694846335511</v>
      </c>
      <c r="H52" s="338">
        <v>30.283678581919954</v>
      </c>
      <c r="I52" s="338">
        <v>14.906216799910815</v>
      </c>
      <c r="J52" s="338">
        <v>7.9301217580861039</v>
      </c>
      <c r="K52" s="339">
        <v>0.58630252081128176</v>
      </c>
      <c r="M52" s="401">
        <v>0</v>
      </c>
      <c r="N52" s="370">
        <v>1</v>
      </c>
      <c r="O52" s="370">
        <f t="array" ref="O52">SQRT(ABS(MMULT(MMULT(M52:N52,$J$59:$K$60),TRANSPOSE(M52:N52)))/2)</f>
        <v>0.12030858216429019</v>
      </c>
      <c r="P52" s="402">
        <f>M52</f>
        <v>0</v>
      </c>
    </row>
    <row r="53" spans="3:16">
      <c r="C53" s="340">
        <v>-17.39587974428856</v>
      </c>
      <c r="D53" s="12">
        <v>74.091093454242468</v>
      </c>
      <c r="E53" s="12">
        <v>49.734915733326247</v>
      </c>
      <c r="F53" s="12">
        <v>-29.25498226556542</v>
      </c>
      <c r="G53" s="12">
        <v>-16.858478901854351</v>
      </c>
      <c r="H53" s="12">
        <v>-24.904503164547595</v>
      </c>
      <c r="I53" s="12">
        <v>-35.412165111312802</v>
      </c>
      <c r="J53" s="12">
        <v>25.431768546837166</v>
      </c>
      <c r="K53" s="341">
        <v>-0.86774195926769515</v>
      </c>
      <c r="M53" s="401">
        <f>M52+0.005</f>
        <v>5.0000000000000001E-3</v>
      </c>
      <c r="N53" s="370">
        <v>1</v>
      </c>
      <c r="O53" s="370">
        <f t="array" ref="O53">SQRT(ABS(MMULT(MMULT(M53:N53,$J$59:$K$60),TRANSPOSE(M53:N53)))/2)</f>
        <v>9.865921206384265E-2</v>
      </c>
      <c r="P53" s="402">
        <f t="shared" ref="P53:P72" si="8">M53</f>
        <v>5.0000000000000001E-3</v>
      </c>
    </row>
    <row r="54" spans="3:16">
      <c r="C54" s="340">
        <v>-22.765502968724217</v>
      </c>
      <c r="D54" s="12">
        <v>49.73491573332624</v>
      </c>
      <c r="E54" s="12">
        <v>200.38014787776208</v>
      </c>
      <c r="F54" s="12">
        <v>50.864310183842193</v>
      </c>
      <c r="G54" s="12">
        <v>-97.96529422276879</v>
      </c>
      <c r="H54" s="12">
        <v>-127.212461027128</v>
      </c>
      <c r="I54" s="12">
        <v>-53.036115576309498</v>
      </c>
      <c r="J54" s="12">
        <v>-74.772293250093298</v>
      </c>
      <c r="K54" s="341">
        <v>1.2977744293205382</v>
      </c>
      <c r="M54" s="401">
        <f t="shared" ref="M54:M72" si="9">M53+0.005</f>
        <v>0.01</v>
      </c>
      <c r="N54" s="370">
        <v>1</v>
      </c>
      <c r="O54" s="370">
        <f t="array" ref="O54">SQRT(ABS(MMULT(MMULT(M54:N54,$J$59:$K$60),TRANSPOSE(M54:N54)))/2)</f>
        <v>7.8675769583069405E-2</v>
      </c>
      <c r="P54" s="402">
        <f t="shared" si="8"/>
        <v>0.01</v>
      </c>
    </row>
    <row r="55" spans="3:16">
      <c r="C55" s="340">
        <v>-44.904972347673038</v>
      </c>
      <c r="D55" s="12">
        <v>-29.254982265565456</v>
      </c>
      <c r="E55" s="12">
        <v>50.86431018384215</v>
      </c>
      <c r="F55" s="12">
        <v>155.00900754001884</v>
      </c>
      <c r="G55" s="12">
        <v>-140.92182957174458</v>
      </c>
      <c r="H55" s="12">
        <v>5.4864941601091752</v>
      </c>
      <c r="I55" s="12">
        <v>3.7219723010129067</v>
      </c>
      <c r="J55" s="12">
        <v>68.605604449585613</v>
      </c>
      <c r="K55" s="341">
        <v>-0.91240687096427542</v>
      </c>
      <c r="M55" s="401">
        <f t="shared" si="9"/>
        <v>1.4999999999999999E-2</v>
      </c>
      <c r="N55" s="370">
        <v>1</v>
      </c>
      <c r="O55" s="370">
        <f t="array" ref="O55">SQRT(ABS(MMULT(MMULT(M55:N55,$J$59:$K$60),TRANSPOSE(M55:N55)))/2)</f>
        <v>6.1990843885783881E-2</v>
      </c>
      <c r="P55" s="402">
        <f t="shared" si="8"/>
        <v>1.4999999999999999E-2</v>
      </c>
    </row>
    <row r="56" spans="3:16">
      <c r="C56" s="340">
        <v>-51.751694846335482</v>
      </c>
      <c r="D56" s="12">
        <v>-16.858478901854305</v>
      </c>
      <c r="E56" s="12">
        <v>-97.965294222768748</v>
      </c>
      <c r="F56" s="12">
        <v>-140.92182957174467</v>
      </c>
      <c r="G56" s="12">
        <v>329.90240518711539</v>
      </c>
      <c r="H56" s="12">
        <v>-28.024459379727308</v>
      </c>
      <c r="I56" s="12">
        <v>5.6193517353150622</v>
      </c>
      <c r="J56" s="12">
        <v>4.7273824697781599</v>
      </c>
      <c r="K56" s="341">
        <v>9.0248325619132312E-3</v>
      </c>
      <c r="M56" s="401">
        <f t="shared" si="9"/>
        <v>0.02</v>
      </c>
      <c r="N56" s="370">
        <v>1</v>
      </c>
      <c r="O56" s="370">
        <f t="array" ref="O56">SQRT(ABS(MMULT(MMULT(M56:N56,$J$59:$K$60),TRANSPOSE(M56:N56)))/2)</f>
        <v>5.1890308763857571E-2</v>
      </c>
      <c r="P56" s="402">
        <f t="shared" si="8"/>
        <v>0.02</v>
      </c>
    </row>
    <row r="57" spans="3:16">
      <c r="C57" s="340">
        <v>30.283678581919947</v>
      </c>
      <c r="D57" s="12">
        <v>-24.904503164547609</v>
      </c>
      <c r="E57" s="12">
        <v>-127.21246102712806</v>
      </c>
      <c r="F57" s="12">
        <v>5.4864941601091459</v>
      </c>
      <c r="G57" s="12">
        <v>-28.024459379727244</v>
      </c>
      <c r="H57" s="12">
        <v>140.0654812913732</v>
      </c>
      <c r="I57" s="12">
        <v>4.3057695380006153</v>
      </c>
      <c r="J57" s="12">
        <v>-21.193542781763526</v>
      </c>
      <c r="K57" s="341">
        <v>0.58527063589741501</v>
      </c>
      <c r="M57" s="401">
        <f t="shared" si="9"/>
        <v>2.5000000000000001E-2</v>
      </c>
      <c r="N57" s="370">
        <v>1</v>
      </c>
      <c r="O57" s="370">
        <f t="array" ref="O57">SQRT(ABS(MMULT(MMULT(M57:N57,$J$59:$K$60),TRANSPOSE(M57:N57)))/2)</f>
        <v>5.2336363776047362E-2</v>
      </c>
      <c r="P57" s="402">
        <f t="shared" si="8"/>
        <v>2.5000000000000001E-2</v>
      </c>
    </row>
    <row r="58" spans="3:16" ht="15.75" thickBot="1">
      <c r="C58" s="340">
        <v>14.906216799910823</v>
      </c>
      <c r="D58" s="12">
        <v>-35.412165111312788</v>
      </c>
      <c r="E58" s="12">
        <v>-53.036115576309477</v>
      </c>
      <c r="F58" s="12">
        <v>3.7219723010128951</v>
      </c>
      <c r="G58" s="12">
        <v>5.619351735315079</v>
      </c>
      <c r="H58" s="12">
        <v>4.3057695380005923</v>
      </c>
      <c r="I58" s="12">
        <v>59.894970313382892</v>
      </c>
      <c r="J58" s="12">
        <v>-10.729041192430214</v>
      </c>
      <c r="K58" s="341">
        <v>0.3017764116408222</v>
      </c>
      <c r="M58" s="401">
        <f t="shared" si="9"/>
        <v>3.0000000000000002E-2</v>
      </c>
      <c r="N58" s="370">
        <v>1</v>
      </c>
      <c r="O58" s="370">
        <f t="array" ref="O58">SQRT(ABS(MMULT(MMULT(M58:N58,$J$59:$K$60),TRANSPOSE(M58:N58)))/2)</f>
        <v>6.3105762135818436E-2</v>
      </c>
      <c r="P58" s="402">
        <f t="shared" si="8"/>
        <v>3.0000000000000002E-2</v>
      </c>
    </row>
    <row r="59" spans="3:16">
      <c r="C59" s="340">
        <v>7.9301217580860932</v>
      </c>
      <c r="D59" s="12">
        <v>25.431768546837162</v>
      </c>
      <c r="E59" s="12">
        <v>-74.77229325009327</v>
      </c>
      <c r="F59" s="12">
        <v>68.605604449585613</v>
      </c>
      <c r="G59" s="12">
        <v>4.7273824697781928</v>
      </c>
      <c r="H59" s="12">
        <v>-21.193542781763561</v>
      </c>
      <c r="I59" s="12">
        <v>-10.729041192430223</v>
      </c>
      <c r="J59" s="392">
        <v>-47.870056470137797</v>
      </c>
      <c r="K59" s="393">
        <v>1.0677781046400427</v>
      </c>
      <c r="M59" s="401">
        <f t="shared" si="9"/>
        <v>3.5000000000000003E-2</v>
      </c>
      <c r="N59" s="370">
        <v>1</v>
      </c>
      <c r="O59" s="370">
        <f t="array" ref="O59">SQRT(ABS(MMULT(MMULT(M59:N59,$J$59:$K$60),TRANSPOSE(M59:N59)))/2)</f>
        <v>8.0139446391522318E-2</v>
      </c>
      <c r="P59" s="402">
        <f t="shared" si="8"/>
        <v>3.5000000000000003E-2</v>
      </c>
    </row>
    <row r="60" spans="3:16" ht="15.75" thickBot="1">
      <c r="C60" s="342">
        <v>0.58630252081128065</v>
      </c>
      <c r="D60" s="343">
        <v>-0.86774195926769482</v>
      </c>
      <c r="E60" s="343">
        <v>1.2977744293205393</v>
      </c>
      <c r="F60" s="343">
        <v>-0.91240687096427409</v>
      </c>
      <c r="G60" s="343">
        <v>9.0248325619122546E-3</v>
      </c>
      <c r="H60" s="343">
        <v>0.58527063589741457</v>
      </c>
      <c r="I60" s="343">
        <v>0.30177641164082208</v>
      </c>
      <c r="J60" s="394">
        <v>1.0677781046400423</v>
      </c>
      <c r="K60" s="391">
        <v>-2.8948309884763528E-2</v>
      </c>
      <c r="M60" s="401">
        <f t="shared" si="9"/>
        <v>0.04</v>
      </c>
      <c r="N60" s="370">
        <v>1</v>
      </c>
      <c r="O60" s="370">
        <f t="array" ref="O60">SQRT(ABS(MMULT(MMULT(M60:N60,$J$59:$K$60),TRANSPOSE(M60:N60)))/2)</f>
        <v>0.10029494470256366</v>
      </c>
      <c r="P60" s="402">
        <f t="shared" si="8"/>
        <v>0.04</v>
      </c>
    </row>
    <row r="61" spans="3:16">
      <c r="M61" s="401">
        <f t="shared" si="9"/>
        <v>4.4999999999999998E-2</v>
      </c>
      <c r="N61" s="370">
        <v>1</v>
      </c>
      <c r="O61" s="370">
        <f t="array" ref="O61">SQRT(ABS(MMULT(MMULT(M61:N61,$J$59:$K$60),TRANSPOSE(M61:N61)))/2)</f>
        <v>0.12203512776899265</v>
      </c>
      <c r="P61" s="402">
        <f t="shared" si="8"/>
        <v>4.4999999999999998E-2</v>
      </c>
    </row>
    <row r="62" spans="3:16">
      <c r="M62" s="401">
        <f t="shared" si="9"/>
        <v>4.9999999999999996E-2</v>
      </c>
      <c r="N62" s="370">
        <v>1</v>
      </c>
      <c r="O62" s="370">
        <f t="array" ref="O62">SQRT(ABS(MMULT(MMULT(M62:N62,$J$59:$K$60),TRANSPOSE(M62:N62)))/2)</f>
        <v>0.14464722706658389</v>
      </c>
      <c r="P62" s="402">
        <f t="shared" si="8"/>
        <v>4.9999999999999996E-2</v>
      </c>
    </row>
    <row r="63" spans="3:16">
      <c r="M63" s="401">
        <f t="shared" si="9"/>
        <v>5.4999999999999993E-2</v>
      </c>
      <c r="N63" s="370">
        <v>1</v>
      </c>
      <c r="O63" s="370">
        <f t="array" ref="O63">SQRT(ABS(MMULT(MMULT(M63:N63,$J$59:$K$60),TRANSPOSE(M63:N63)))/2)</f>
        <v>0.16777907973958742</v>
      </c>
      <c r="P63" s="402">
        <f t="shared" si="8"/>
        <v>5.4999999999999993E-2</v>
      </c>
    </row>
    <row r="64" spans="3:16">
      <c r="M64" s="401">
        <f t="shared" si="9"/>
        <v>5.9999999999999991E-2</v>
      </c>
      <c r="N64" s="370">
        <v>1</v>
      </c>
      <c r="O64" s="370">
        <f t="array" ref="O64">SQRT(ABS(MMULT(MMULT(M64:N64,$J$59:$K$60),TRANSPOSE(M64:N64)))/2)</f>
        <v>0.19124217712164657</v>
      </c>
      <c r="P64" s="402">
        <f t="shared" si="8"/>
        <v>5.9999999999999991E-2</v>
      </c>
    </row>
    <row r="65" spans="13:16">
      <c r="M65" s="401">
        <f t="shared" si="9"/>
        <v>6.4999999999999988E-2</v>
      </c>
      <c r="N65" s="370">
        <v>1</v>
      </c>
      <c r="O65" s="370">
        <f t="array" ref="O65">SQRT(ABS(MMULT(MMULT(M65:N65,$J$59:$K$60),TRANSPOSE(M65:N65)))/2)</f>
        <v>0.21492806339318526</v>
      </c>
      <c r="P65" s="402">
        <f t="shared" si="8"/>
        <v>6.4999999999999988E-2</v>
      </c>
    </row>
    <row r="66" spans="13:16">
      <c r="M66" s="401">
        <f t="shared" si="9"/>
        <v>6.9999999999999993E-2</v>
      </c>
      <c r="N66" s="370">
        <v>1</v>
      </c>
      <c r="O66" s="370">
        <f t="array" ref="O66">SQRT(ABS(MMULT(MMULT(M66:N66,$J$59:$K$60),TRANSPOSE(M66:N66)))/2)</f>
        <v>0.2387704461808797</v>
      </c>
      <c r="P66" s="402">
        <f t="shared" si="8"/>
        <v>6.9999999999999993E-2</v>
      </c>
    </row>
    <row r="67" spans="13:16">
      <c r="M67" s="401">
        <f t="shared" si="9"/>
        <v>7.4999999999999997E-2</v>
      </c>
      <c r="N67" s="370">
        <v>1</v>
      </c>
      <c r="O67" s="370">
        <f t="array" ref="O67">SQRT(ABS(MMULT(MMULT(M67:N67,$J$59:$K$60),TRANSPOSE(M67:N67)))/2)</f>
        <v>0.26272672288262022</v>
      </c>
      <c r="P67" s="402">
        <f t="shared" si="8"/>
        <v>7.4999999999999997E-2</v>
      </c>
    </row>
    <row r="68" spans="13:16">
      <c r="M68" s="401">
        <f t="shared" si="9"/>
        <v>0.08</v>
      </c>
      <c r="N68" s="370">
        <v>1</v>
      </c>
      <c r="O68" s="370">
        <f t="array" ref="O68">SQRT(ABS(MMULT(MMULT(M68:N68,$J$59:$K$60),TRANSPOSE(M68:N68)))/2)</f>
        <v>0.28676835124472738</v>
      </c>
      <c r="P68" s="402">
        <f t="shared" si="8"/>
        <v>0.08</v>
      </c>
    </row>
    <row r="69" spans="13:16">
      <c r="M69" s="401">
        <f t="shared" si="9"/>
        <v>8.5000000000000006E-2</v>
      </c>
      <c r="N69" s="370">
        <v>1</v>
      </c>
      <c r="O69" s="370">
        <f t="array" ref="O69">SQRT(ABS(MMULT(MMULT(M69:N69,$J$59:$K$60),TRANSPOSE(M69:N69)))/2)</f>
        <v>0.31087552982882227</v>
      </c>
      <c r="P69" s="402">
        <f t="shared" si="8"/>
        <v>8.5000000000000006E-2</v>
      </c>
    </row>
    <row r="70" spans="13:16">
      <c r="M70" s="401">
        <f t="shared" si="9"/>
        <v>9.0000000000000011E-2</v>
      </c>
      <c r="N70" s="370">
        <v>1</v>
      </c>
      <c r="O70" s="370">
        <f t="array" ref="O70">SQRT(ABS(MMULT(MMULT(M70:N70,$J$59:$K$60),TRANSPOSE(M70:N70)))/2)</f>
        <v>0.33503410905284858</v>
      </c>
      <c r="P70" s="402">
        <f t="shared" si="8"/>
        <v>9.0000000000000011E-2</v>
      </c>
    </row>
    <row r="71" spans="13:16">
      <c r="M71" s="401">
        <f t="shared" si="9"/>
        <v>9.5000000000000015E-2</v>
      </c>
      <c r="N71" s="370">
        <v>1</v>
      </c>
      <c r="O71" s="370">
        <f t="array" ref="O71">SQRT(ABS(MMULT(MMULT(M71:N71,$J$59:$K$60),TRANSPOSE(M71:N71)))/2)</f>
        <v>0.35923371893945949</v>
      </c>
      <c r="P71" s="402">
        <f t="shared" si="8"/>
        <v>9.5000000000000015E-2</v>
      </c>
    </row>
    <row r="72" spans="13:16">
      <c r="M72" s="403">
        <f t="shared" si="9"/>
        <v>0.10000000000000002</v>
      </c>
      <c r="N72" s="404">
        <v>1</v>
      </c>
      <c r="O72" s="404">
        <f t="array" ref="O72">SQRT(ABS(MMULT(MMULT(M72:N72,$J$59:$K$60),TRANSPOSE(M72:N72)))/2)</f>
        <v>0.38346659154229668</v>
      </c>
      <c r="P72" s="405">
        <f t="shared" si="8"/>
        <v>0.10000000000000002</v>
      </c>
    </row>
    <row r="74" spans="13:16">
      <c r="M74" s="331"/>
      <c r="N74" s="331"/>
      <c r="O74" s="331"/>
      <c r="P74" s="331"/>
    </row>
    <row r="75" spans="13:16">
      <c r="M75" s="331"/>
      <c r="N75" s="331"/>
      <c r="O75" s="331"/>
      <c r="P75" s="331"/>
    </row>
    <row r="76" spans="13:16">
      <c r="M76" s="331"/>
      <c r="N76" s="331"/>
      <c r="O76" s="331"/>
      <c r="P76" s="331"/>
    </row>
    <row r="94" spans="2:17" s="418" customFormat="1" ht="23.25">
      <c r="B94" s="417" t="s">
        <v>316</v>
      </c>
    </row>
    <row r="96" spans="2:17" ht="15.75" thickBot="1">
      <c r="Q96" s="8" t="s">
        <v>313</v>
      </c>
    </row>
    <row r="97" spans="3:19" ht="15.75" thickBot="1">
      <c r="C97" s="357">
        <f t="array" ref="C97:I103">2*mVCM</f>
        <v>8.6968165000474839E-3</v>
      </c>
      <c r="D97" s="358">
        <v>1.0968773570482565E-2</v>
      </c>
      <c r="E97" s="358">
        <v>7.3374616337414005E-3</v>
      </c>
      <c r="F97" s="358">
        <v>4.2008885897761609E-3</v>
      </c>
      <c r="G97" s="358">
        <v>5.9869402808659343E-3</v>
      </c>
      <c r="H97" s="358">
        <v>6.3792075655502893E-3</v>
      </c>
      <c r="I97" s="359">
        <v>8.0961824663694261E-3</v>
      </c>
      <c r="J97" s="338">
        <v>1</v>
      </c>
      <c r="K97" s="414">
        <f>IF('Security Analysis'!$Y$14='Security Analysis'!X4,1,0)</f>
        <v>0</v>
      </c>
      <c r="N97" s="345">
        <v>0</v>
      </c>
      <c r="Q97" s="416">
        <f t="array" ref="Q97:Q105">MMULT(MINVERSE(C97:K105),N97:N105)</f>
        <v>0.70554976783695345</v>
      </c>
      <c r="S97" s="20">
        <f>SUM(Q97:Q103)</f>
        <v>1</v>
      </c>
    </row>
    <row r="98" spans="3:19">
      <c r="C98" s="360">
        <v>1.0968773570482565E-2</v>
      </c>
      <c r="D98" s="361">
        <v>4.4422401358677296E-2</v>
      </c>
      <c r="E98" s="361">
        <v>2.3072535525128546E-2</v>
      </c>
      <c r="F98" s="361">
        <v>1.7767076933705522E-2</v>
      </c>
      <c r="G98" s="361">
        <v>1.9815290786898518E-2</v>
      </c>
      <c r="H98" s="361">
        <v>2.7249187768980471E-2</v>
      </c>
      <c r="I98" s="362">
        <v>3.7348493245936989E-2</v>
      </c>
      <c r="J98" s="12">
        <v>1</v>
      </c>
      <c r="K98" s="415">
        <f>IF('Security Analysis'!$Y$14='Security Analysis'!X5,1,0)</f>
        <v>0</v>
      </c>
      <c r="N98" s="346">
        <v>0</v>
      </c>
      <c r="Q98" s="416">
        <v>-0.28405182794726669</v>
      </c>
    </row>
    <row r="99" spans="3:19">
      <c r="C99" s="360">
        <v>7.3374616337414005E-3</v>
      </c>
      <c r="D99" s="361">
        <v>2.3072535525128546E-2</v>
      </c>
      <c r="E99" s="361">
        <v>2.0915457862222792E-2</v>
      </c>
      <c r="F99" s="361">
        <v>1.3944827224024493E-2</v>
      </c>
      <c r="G99" s="361">
        <v>1.5690227204163815E-2</v>
      </c>
      <c r="H99" s="361">
        <v>2.0758617796061637E-2</v>
      </c>
      <c r="I99" s="362">
        <v>2.3299031620820174E-2</v>
      </c>
      <c r="J99" s="12">
        <v>1</v>
      </c>
      <c r="K99" s="415">
        <f>IF('Security Analysis'!$Y$14='Security Analysis'!X6,1,0)</f>
        <v>1</v>
      </c>
      <c r="N99" s="346">
        <v>0</v>
      </c>
      <c r="Q99" s="416">
        <v>0.15</v>
      </c>
    </row>
    <row r="100" spans="3:19">
      <c r="C100" s="360">
        <v>4.2008885897761609E-3</v>
      </c>
      <c r="D100" s="361">
        <v>1.7767076933705522E-2</v>
      </c>
      <c r="E100" s="361">
        <v>1.3944827224024493E-2</v>
      </c>
      <c r="F100" s="361">
        <v>1.3348003308466231E-2</v>
      </c>
      <c r="G100" s="361">
        <v>1.208420861100298E-2</v>
      </c>
      <c r="H100" s="361">
        <v>1.5180859856464158E-2</v>
      </c>
      <c r="I100" s="362">
        <v>1.7362915445200258E-2</v>
      </c>
      <c r="J100" s="12">
        <v>1</v>
      </c>
      <c r="K100" s="415">
        <f>IF('Security Analysis'!$Y$14='Security Analysis'!X7,1,0)</f>
        <v>0</v>
      </c>
      <c r="N100" s="346">
        <v>0</v>
      </c>
      <c r="Q100" s="416">
        <v>0.52558223726883913</v>
      </c>
    </row>
    <row r="101" spans="3:19">
      <c r="C101" s="360">
        <v>5.9869402808659343E-3</v>
      </c>
      <c r="D101" s="361">
        <v>1.9815290786898518E-2</v>
      </c>
      <c r="E101" s="361">
        <v>1.5690227204163815E-2</v>
      </c>
      <c r="F101" s="361">
        <v>1.208420861100298E-2</v>
      </c>
      <c r="G101" s="361">
        <v>1.5657643833560927E-2</v>
      </c>
      <c r="H101" s="361">
        <v>1.6889839373680656E-2</v>
      </c>
      <c r="I101" s="362">
        <v>1.8608140852197329E-2</v>
      </c>
      <c r="J101" s="12">
        <v>1</v>
      </c>
      <c r="K101" s="415">
        <f>IF('Security Analysis'!$Y$14='Security Analysis'!X8,1,0)</f>
        <v>0</v>
      </c>
      <c r="N101" s="346">
        <v>0</v>
      </c>
      <c r="Q101" s="416">
        <v>-5.8271846113798105E-2</v>
      </c>
    </row>
    <row r="102" spans="3:19">
      <c r="C102" s="360">
        <v>6.3792075655502893E-3</v>
      </c>
      <c r="D102" s="361">
        <v>2.7249187768980471E-2</v>
      </c>
      <c r="E102" s="361">
        <v>2.0758617796061637E-2</v>
      </c>
      <c r="F102" s="361">
        <v>1.5180859856464158E-2</v>
      </c>
      <c r="G102" s="361">
        <v>1.6889839373680656E-2</v>
      </c>
      <c r="H102" s="361">
        <v>2.8870088552542209E-2</v>
      </c>
      <c r="I102" s="362">
        <v>2.5130201645275428E-2</v>
      </c>
      <c r="J102" s="12">
        <v>1</v>
      </c>
      <c r="K102" s="415">
        <f>IF('Security Analysis'!$Y$14='Security Analysis'!X9,1,0)</f>
        <v>0</v>
      </c>
      <c r="N102" s="346">
        <v>0</v>
      </c>
      <c r="Q102" s="416">
        <v>-4.1779968765628138E-2</v>
      </c>
    </row>
    <row r="103" spans="3:19" ht="15.75" thickBot="1">
      <c r="C103" s="363">
        <v>8.0961824663694261E-3</v>
      </c>
      <c r="D103" s="364">
        <v>3.7348493245936989E-2</v>
      </c>
      <c r="E103" s="364">
        <v>2.3299031620820174E-2</v>
      </c>
      <c r="F103" s="364">
        <v>1.7362915445200258E-2</v>
      </c>
      <c r="G103" s="364">
        <v>1.8608140852197329E-2</v>
      </c>
      <c r="H103" s="364">
        <v>2.5130201645275428E-2</v>
      </c>
      <c r="I103" s="365">
        <v>4.9789818741633657E-2</v>
      </c>
      <c r="J103" s="12">
        <v>1</v>
      </c>
      <c r="K103" s="415">
        <f>IF('Security Analysis'!$Y$14='Security Analysis'!X10,1,0)</f>
        <v>0</v>
      </c>
      <c r="N103" s="346">
        <v>0</v>
      </c>
      <c r="Q103" s="416">
        <v>2.9716377209003213E-3</v>
      </c>
      <c r="S103" s="406" t="s">
        <v>313</v>
      </c>
    </row>
    <row r="104" spans="3:19">
      <c r="C104" s="340">
        <f t="array" ref="C104:I105">TRANSPOSE(J97:K103)</f>
        <v>1</v>
      </c>
      <c r="D104" s="12">
        <v>1</v>
      </c>
      <c r="E104" s="12">
        <v>1</v>
      </c>
      <c r="F104" s="12">
        <v>1</v>
      </c>
      <c r="G104" s="12">
        <v>1</v>
      </c>
      <c r="H104" s="12">
        <v>1</v>
      </c>
      <c r="I104" s="12">
        <v>1</v>
      </c>
      <c r="J104" s="98">
        <v>0</v>
      </c>
      <c r="K104" s="368">
        <v>0</v>
      </c>
      <c r="N104" s="346">
        <v>1</v>
      </c>
      <c r="Q104" s="7">
        <v>-5.7375341137218374E-3</v>
      </c>
      <c r="R104" s="73" t="s">
        <v>85</v>
      </c>
      <c r="S104" s="378">
        <f t="array" ref="S104">MMULT(C115:I115,Q97:Q103)</f>
        <v>1.9744529464431369E-2</v>
      </c>
    </row>
    <row r="105" spans="3:19" ht="15.75" thickBot="1">
      <c r="C105" s="342">
        <v>0</v>
      </c>
      <c r="D105" s="343">
        <v>0</v>
      </c>
      <c r="E105" s="343">
        <v>1</v>
      </c>
      <c r="F105" s="343">
        <v>0</v>
      </c>
      <c r="G105" s="343">
        <v>0</v>
      </c>
      <c r="H105" s="343">
        <v>0</v>
      </c>
      <c r="I105" s="343">
        <v>0</v>
      </c>
      <c r="J105" s="373">
        <v>0</v>
      </c>
      <c r="K105" s="389">
        <v>0</v>
      </c>
      <c r="N105" s="411">
        <f>'Security Analysis'!Z14</f>
        <v>0.15</v>
      </c>
      <c r="Q105" s="7">
        <v>-1.6397298902058248E-3</v>
      </c>
      <c r="R105" s="73" t="s">
        <v>145</v>
      </c>
      <c r="S105" s="378">
        <f t="array" ref="S105">SQRT(MMULT(MMULT(TRANSPOSE(Q97:Q103),mVCM),Q97:Q103))</f>
        <v>5.469686278596201E-2</v>
      </c>
    </row>
    <row r="107" spans="3:19" ht="15.75" thickBot="1">
      <c r="Q107" s="8" t="s">
        <v>314</v>
      </c>
    </row>
    <row r="108" spans="3:19" ht="15.75" thickBot="1">
      <c r="C108" s="357">
        <f t="array" ref="C108:I114">2*mVCM</f>
        <v>8.6968165000474839E-3</v>
      </c>
      <c r="D108" s="358">
        <v>1.0968773570482565E-2</v>
      </c>
      <c r="E108" s="358">
        <v>7.3374616337414005E-3</v>
      </c>
      <c r="F108" s="358">
        <v>4.2008885897761609E-3</v>
      </c>
      <c r="G108" s="358">
        <v>5.9869402808659343E-3</v>
      </c>
      <c r="H108" s="358">
        <v>6.3792075655502893E-3</v>
      </c>
      <c r="I108" s="359">
        <v>8.0961824663694261E-3</v>
      </c>
      <c r="J108" s="366">
        <f t="array" ref="J108:J114">E32:E38</f>
        <v>2.0085753826333989E-2</v>
      </c>
      <c r="K108" s="366">
        <v>1</v>
      </c>
      <c r="L108" s="414">
        <f>IF('Security Analysis'!$Y$14='Security Analysis'!X4,1,0)</f>
        <v>0</v>
      </c>
      <c r="N108" s="345">
        <v>0</v>
      </c>
      <c r="Q108" s="416">
        <f t="array" ref="Q108:Q117">MMULT(MINVERSE(C108:L117),N108:N117)</f>
        <v>0.69975670086463682</v>
      </c>
      <c r="S108" s="20">
        <f>SUM(Q108:Q114)</f>
        <v>1.0000000000000002</v>
      </c>
    </row>
    <row r="109" spans="3:19">
      <c r="C109" s="360">
        <v>1.0968773570482565E-2</v>
      </c>
      <c r="D109" s="361">
        <v>4.4422401358677296E-2</v>
      </c>
      <c r="E109" s="361">
        <v>2.3072535525128546E-2</v>
      </c>
      <c r="F109" s="361">
        <v>1.7767076933705522E-2</v>
      </c>
      <c r="G109" s="361">
        <v>1.9815290786898518E-2</v>
      </c>
      <c r="H109" s="361">
        <v>2.7249187768980471E-2</v>
      </c>
      <c r="I109" s="362">
        <v>3.7348493245936989E-2</v>
      </c>
      <c r="J109" s="98">
        <v>1.8669098789688462E-2</v>
      </c>
      <c r="K109" s="98">
        <v>1</v>
      </c>
      <c r="L109" s="415">
        <f>IF('Security Analysis'!$Y$14='Security Analysis'!X5,1,0)</f>
        <v>0</v>
      </c>
      <c r="N109" s="346">
        <v>0</v>
      </c>
      <c r="Q109" s="416">
        <v>0.16709105716988212</v>
      </c>
    </row>
    <row r="110" spans="3:19">
      <c r="C110" s="360">
        <v>7.3374616337414005E-3</v>
      </c>
      <c r="D110" s="361">
        <v>2.3072535525128546E-2</v>
      </c>
      <c r="E110" s="361">
        <v>2.0915457862222792E-2</v>
      </c>
      <c r="F110" s="361">
        <v>1.3944827224024493E-2</v>
      </c>
      <c r="G110" s="361">
        <v>1.5690227204163815E-2</v>
      </c>
      <c r="H110" s="361">
        <v>2.0758617796061637E-2</v>
      </c>
      <c r="I110" s="362">
        <v>2.3299031620820174E-2</v>
      </c>
      <c r="J110" s="98">
        <v>1.0231568975743814E-2</v>
      </c>
      <c r="K110" s="98">
        <v>1</v>
      </c>
      <c r="L110" s="415">
        <f>IF('Security Analysis'!$Y$14='Security Analysis'!X6,1,0)</f>
        <v>1</v>
      </c>
      <c r="N110" s="346">
        <v>0</v>
      </c>
      <c r="Q110" s="416">
        <v>0.15</v>
      </c>
    </row>
    <row r="111" spans="3:19">
      <c r="C111" s="360">
        <v>4.2008885897761609E-3</v>
      </c>
      <c r="D111" s="361">
        <v>1.7767076933705522E-2</v>
      </c>
      <c r="E111" s="361">
        <v>1.3944827224024493E-2</v>
      </c>
      <c r="F111" s="361">
        <v>1.3348003308466231E-2</v>
      </c>
      <c r="G111" s="361">
        <v>1.208420861100298E-2</v>
      </c>
      <c r="H111" s="361">
        <v>1.5180859856464158E-2</v>
      </c>
      <c r="I111" s="362">
        <v>1.7362915445200258E-2</v>
      </c>
      <c r="J111" s="98">
        <v>2.0369811226975253E-2</v>
      </c>
      <c r="K111" s="98">
        <v>1</v>
      </c>
      <c r="L111" s="415">
        <f>IF('Security Analysis'!$Y$14='Security Analysis'!X7,1,0)</f>
        <v>0</v>
      </c>
      <c r="N111" s="346">
        <v>0</v>
      </c>
      <c r="Q111" s="416">
        <v>1.4238151491330842</v>
      </c>
    </row>
    <row r="112" spans="3:19">
      <c r="C112" s="360">
        <v>5.9869402808659343E-3</v>
      </c>
      <c r="D112" s="361">
        <v>1.9815290786898518E-2</v>
      </c>
      <c r="E112" s="361">
        <v>1.5690227204163815E-2</v>
      </c>
      <c r="F112" s="361">
        <v>1.208420861100298E-2</v>
      </c>
      <c r="G112" s="361">
        <v>1.5657643833560927E-2</v>
      </c>
      <c r="H112" s="361">
        <v>1.6889839373680656E-2</v>
      </c>
      <c r="I112" s="362">
        <v>1.8608140852197329E-2</v>
      </c>
      <c r="J112" s="98">
        <v>1.653350782651249E-2</v>
      </c>
      <c r="K112" s="98">
        <v>1</v>
      </c>
      <c r="L112" s="415">
        <f>IF('Security Analysis'!$Y$14='Security Analysis'!X8,1,0)</f>
        <v>0</v>
      </c>
      <c r="N112" s="346">
        <v>0</v>
      </c>
      <c r="Q112" s="416">
        <v>-0.38468893825533934</v>
      </c>
    </row>
    <row r="113" spans="3:19">
      <c r="C113" s="360">
        <v>6.3792075655502893E-3</v>
      </c>
      <c r="D113" s="361">
        <v>2.7249187768980471E-2</v>
      </c>
      <c r="E113" s="361">
        <v>2.0758617796061637E-2</v>
      </c>
      <c r="F113" s="361">
        <v>1.5180859856464158E-2</v>
      </c>
      <c r="G113" s="361">
        <v>1.6889839373680656E-2</v>
      </c>
      <c r="H113" s="361">
        <v>2.8870088552542209E-2</v>
      </c>
      <c r="I113" s="362">
        <v>2.5130201645275428E-2</v>
      </c>
      <c r="J113" s="98">
        <v>1.0425012729918182E-2</v>
      </c>
      <c r="K113" s="98">
        <v>1</v>
      </c>
      <c r="L113" s="415">
        <f>IF('Security Analysis'!$Y$14='Security Analysis'!X9,1,0)</f>
        <v>0</v>
      </c>
      <c r="N113" s="346">
        <v>0</v>
      </c>
      <c r="Q113" s="416">
        <v>-0.74595290743658338</v>
      </c>
    </row>
    <row r="114" spans="3:19" ht="15.75" thickBot="1">
      <c r="C114" s="363">
        <v>8.0961824663694261E-3</v>
      </c>
      <c r="D114" s="364">
        <v>3.7348493245936989E-2</v>
      </c>
      <c r="E114" s="364">
        <v>2.3299031620820174E-2</v>
      </c>
      <c r="F114" s="364">
        <v>1.7362915445200258E-2</v>
      </c>
      <c r="G114" s="364">
        <v>1.8608140852197329E-2</v>
      </c>
      <c r="H114" s="364">
        <v>2.5130201645275428E-2</v>
      </c>
      <c r="I114" s="365">
        <v>4.9789818741633657E-2</v>
      </c>
      <c r="J114" s="98">
        <v>1.1532556197960172E-2</v>
      </c>
      <c r="K114" s="98">
        <v>1</v>
      </c>
      <c r="L114" s="415">
        <f>IF('Security Analysis'!$Y$14='Security Analysis'!X10,1,0)</f>
        <v>0</v>
      </c>
      <c r="N114" s="346">
        <v>0</v>
      </c>
      <c r="Q114" s="416">
        <v>-0.31002106147567998</v>
      </c>
    </row>
    <row r="115" spans="3:19">
      <c r="C115" s="369">
        <f t="array" ref="C115:I117">TRANSPOSE(J108:L114)</f>
        <v>2.0085753826333989E-2</v>
      </c>
      <c r="D115" s="98">
        <v>1.8669098789688462E-2</v>
      </c>
      <c r="E115" s="98">
        <v>1.0231568975743814E-2</v>
      </c>
      <c r="F115" s="98">
        <v>2.0369811226975253E-2</v>
      </c>
      <c r="G115" s="98">
        <v>1.653350782651249E-2</v>
      </c>
      <c r="H115" s="98">
        <v>1.0425012729918182E-2</v>
      </c>
      <c r="I115" s="98">
        <v>1.1532556197960172E-2</v>
      </c>
      <c r="J115" s="98">
        <v>0</v>
      </c>
      <c r="K115" s="98">
        <v>0</v>
      </c>
      <c r="L115" s="368">
        <v>0</v>
      </c>
      <c r="N115" s="412">
        <f>'Security Analysis'!Z12</f>
        <v>0.03</v>
      </c>
      <c r="Q115" s="7">
        <v>-0.77707240909361441</v>
      </c>
      <c r="S115" s="406" t="s">
        <v>314</v>
      </c>
    </row>
    <row r="116" spans="3:19">
      <c r="C116" s="369">
        <v>1</v>
      </c>
      <c r="D116" s="98">
        <v>1</v>
      </c>
      <c r="E116" s="98">
        <v>1</v>
      </c>
      <c r="F116" s="98">
        <v>1</v>
      </c>
      <c r="G116" s="98">
        <v>1</v>
      </c>
      <c r="H116" s="98">
        <v>1</v>
      </c>
      <c r="I116" s="98">
        <v>1</v>
      </c>
      <c r="J116" s="98">
        <v>0</v>
      </c>
      <c r="K116" s="98">
        <v>0</v>
      </c>
      <c r="L116" s="368">
        <v>0</v>
      </c>
      <c r="N116" s="346">
        <v>1</v>
      </c>
      <c r="Q116" s="7">
        <v>1.0179422674271216E-2</v>
      </c>
      <c r="R116" s="73" t="s">
        <v>85</v>
      </c>
      <c r="S116" s="378">
        <f t="array" ref="S116">MMULT(C115:I115,Q108:Q114)</f>
        <v>3.0000000000000006E-2</v>
      </c>
    </row>
    <row r="117" spans="3:19" ht="15.75" thickBot="1">
      <c r="C117" s="372">
        <v>0</v>
      </c>
      <c r="D117" s="373">
        <v>0</v>
      </c>
      <c r="E117" s="373">
        <v>1</v>
      </c>
      <c r="F117" s="373">
        <v>0</v>
      </c>
      <c r="G117" s="373">
        <v>0</v>
      </c>
      <c r="H117" s="373">
        <v>0</v>
      </c>
      <c r="I117" s="373">
        <v>0</v>
      </c>
      <c r="J117" s="373">
        <v>0</v>
      </c>
      <c r="K117" s="373">
        <v>0</v>
      </c>
      <c r="L117" s="389">
        <v>0</v>
      </c>
      <c r="N117" s="413">
        <f>N105</f>
        <v>0.15</v>
      </c>
      <c r="Q117" s="7">
        <v>-5.466581294522657E-3</v>
      </c>
      <c r="R117" s="73" t="s">
        <v>145</v>
      </c>
      <c r="S117" s="378">
        <f t="array" ref="S117">SQRT(MMULT(MMULT(TRANSPOSE(Q108:Q114),mVCM),Q108:Q114))</f>
        <v>8.3524657415387282E-2</v>
      </c>
    </row>
    <row r="120" spans="3:19">
      <c r="M120" s="622" t="s">
        <v>303</v>
      </c>
      <c r="N120" s="623"/>
      <c r="O120" s="623"/>
      <c r="P120" s="623"/>
      <c r="Q120" s="624"/>
    </row>
    <row r="121" spans="3:19" ht="15.75" thickBot="1">
      <c r="M121" s="399" t="s">
        <v>305</v>
      </c>
      <c r="N121" s="396">
        <v>1</v>
      </c>
      <c r="O121" s="396" t="s">
        <v>317</v>
      </c>
      <c r="P121" s="396" t="s">
        <v>307</v>
      </c>
      <c r="Q121" s="400" t="s">
        <v>305</v>
      </c>
    </row>
    <row r="122" spans="3:19">
      <c r="C122" s="419">
        <f t="array" ref="C122:L131">MINVERSE(C108:L117)</f>
        <v>89.041730017034425</v>
      </c>
      <c r="D122" s="366">
        <v>-11.745417940722142</v>
      </c>
      <c r="E122" s="366">
        <v>0</v>
      </c>
      <c r="F122" s="366">
        <v>-39.126198268722035</v>
      </c>
      <c r="G122" s="366">
        <v>-62.881685616782946</v>
      </c>
      <c r="H122" s="366">
        <v>15.830871306128913</v>
      </c>
      <c r="I122" s="366">
        <v>8.8807005030637853</v>
      </c>
      <c r="J122" s="366">
        <v>-0.56487578529193527</v>
      </c>
      <c r="K122" s="366">
        <v>0.73374470975234463</v>
      </c>
      <c r="L122" s="366">
        <v>-0.11361156885966484</v>
      </c>
      <c r="M122" s="428">
        <v>0</v>
      </c>
      <c r="N122" s="429">
        <v>1</v>
      </c>
      <c r="O122" s="430">
        <f>$N$117</f>
        <v>0.15</v>
      </c>
      <c r="P122" s="431">
        <f t="array" ref="P122">SQRT(ABS(MMULT(MMULT(M122:O122,$J$129:$L$131),TRANSPOSE(M122:O122)))/2)</f>
        <v>0.13327179803191536</v>
      </c>
      <c r="Q122" s="432">
        <f>M122</f>
        <v>0</v>
      </c>
    </row>
    <row r="123" spans="3:19">
      <c r="C123" s="369">
        <v>-11.745417940722128</v>
      </c>
      <c r="D123" s="98">
        <v>61.746747623586565</v>
      </c>
      <c r="E123" s="98">
        <v>0</v>
      </c>
      <c r="F123" s="98">
        <v>-41.879646972222744</v>
      </c>
      <c r="G123" s="98">
        <v>7.4567823880622948</v>
      </c>
      <c r="H123" s="98">
        <v>6.669987105181435</v>
      </c>
      <c r="I123" s="98">
        <v>-22.248452203885403</v>
      </c>
      <c r="J123" s="98">
        <v>43.990461827418663</v>
      </c>
      <c r="K123" s="98">
        <v>-1.1898532191241196</v>
      </c>
      <c r="L123" s="98">
        <v>0.24820280980961282</v>
      </c>
      <c r="M123" s="401">
        <f>M122+0.005</f>
        <v>5.0000000000000001E-3</v>
      </c>
      <c r="N123" s="370">
        <v>1</v>
      </c>
      <c r="O123" s="34">
        <f t="shared" ref="O123:O142" si="10">$N$117</f>
        <v>0.15</v>
      </c>
      <c r="P123" s="12">
        <f t="array" ref="P123">SQRT(ABS(MMULT(MMULT(M123:O123,$J$129:$L$131),TRANSPOSE(M123:O123)))/2)</f>
        <v>0.105962977649217</v>
      </c>
      <c r="Q123" s="426">
        <f t="shared" ref="Q123:Q142" si="11">M123</f>
        <v>5.0000000000000001E-3</v>
      </c>
    </row>
    <row r="124" spans="3:19">
      <c r="C124" s="369">
        <v>0</v>
      </c>
      <c r="D124" s="98">
        <v>0</v>
      </c>
      <c r="E124" s="98">
        <v>0</v>
      </c>
      <c r="F124" s="98">
        <v>0</v>
      </c>
      <c r="G124" s="98">
        <v>0</v>
      </c>
      <c r="H124" s="98">
        <v>0</v>
      </c>
      <c r="I124" s="98">
        <v>0</v>
      </c>
      <c r="J124" s="98">
        <v>0</v>
      </c>
      <c r="K124" s="98">
        <v>0</v>
      </c>
      <c r="L124" s="98">
        <v>1</v>
      </c>
      <c r="M124" s="401">
        <f t="shared" ref="M124:M142" si="12">M123+0.005</f>
        <v>0.01</v>
      </c>
      <c r="N124" s="370">
        <v>1</v>
      </c>
      <c r="O124" s="34">
        <f t="shared" si="10"/>
        <v>0.15</v>
      </c>
      <c r="P124" s="12">
        <f t="array" ref="P124">SQRT(ABS(MMULT(MMULT(M124:O124,$J$129:$L$131),TRANSPOSE(M124:O124)))/2)</f>
        <v>8.1174014752129681E-2</v>
      </c>
      <c r="Q124" s="426">
        <f t="shared" si="11"/>
        <v>0.01</v>
      </c>
    </row>
    <row r="125" spans="3:19">
      <c r="C125" s="369">
        <v>-39.126198268722099</v>
      </c>
      <c r="D125" s="98">
        <v>-41.879646972222758</v>
      </c>
      <c r="E125" s="98">
        <v>0</v>
      </c>
      <c r="F125" s="98">
        <v>142.09765839750617</v>
      </c>
      <c r="G125" s="98">
        <v>-116.05441049169673</v>
      </c>
      <c r="H125" s="98">
        <v>37.777986832731749</v>
      </c>
      <c r="I125" s="98">
        <v>17.184610502403771</v>
      </c>
      <c r="J125" s="98">
        <v>87.585733755359215</v>
      </c>
      <c r="K125" s="98">
        <v>-1.2418327238780429</v>
      </c>
      <c r="L125" s="98">
        <v>0.25383906900233932</v>
      </c>
      <c r="M125" s="401">
        <f t="shared" si="12"/>
        <v>1.4999999999999999E-2</v>
      </c>
      <c r="N125" s="370">
        <v>1</v>
      </c>
      <c r="O125" s="34">
        <f t="shared" si="10"/>
        <v>0.15</v>
      </c>
      <c r="P125" s="12">
        <f t="array" ref="P125">SQRT(ABS(MMULT(MMULT(M125:O125,$J$129:$L$131),TRANSPOSE(M125:O125)))/2)</f>
        <v>6.2004647138187589E-2</v>
      </c>
      <c r="Q125" s="426">
        <f t="shared" si="11"/>
        <v>1.4999999999999999E-2</v>
      </c>
    </row>
    <row r="126" spans="3:19">
      <c r="C126" s="369">
        <v>-62.881685616782917</v>
      </c>
      <c r="D126" s="98">
        <v>7.4567823880623259</v>
      </c>
      <c r="E126" s="98">
        <v>0</v>
      </c>
      <c r="F126" s="98">
        <v>-116.05441049169681</v>
      </c>
      <c r="G126" s="98">
        <v>282.00744666054408</v>
      </c>
      <c r="H126" s="98">
        <v>-90.218276009344464</v>
      </c>
      <c r="I126" s="98">
        <v>-20.309856930782242</v>
      </c>
      <c r="J126" s="98">
        <v>-31.828582707096853</v>
      </c>
      <c r="K126" s="98">
        <v>0.64350312369846674</v>
      </c>
      <c r="L126" s="98">
        <v>-0.48889720493933642</v>
      </c>
      <c r="M126" s="401">
        <f t="shared" si="12"/>
        <v>0.02</v>
      </c>
      <c r="N126" s="370">
        <v>1</v>
      </c>
      <c r="O126" s="34">
        <f t="shared" si="10"/>
        <v>0.15</v>
      </c>
      <c r="P126" s="12">
        <f t="array" ref="P126">SQRT(ABS(MMULT(MMULT(M126:O126,$J$129:$L$131),TRANSPOSE(M126:O126)))/2)</f>
        <v>5.4719461067750143E-2</v>
      </c>
      <c r="Q126" s="426">
        <f t="shared" si="11"/>
        <v>0.02</v>
      </c>
    </row>
    <row r="127" spans="3:19">
      <c r="C127" s="369">
        <v>15.830871306128945</v>
      </c>
      <c r="D127" s="98">
        <v>6.6699871051814164</v>
      </c>
      <c r="E127" s="98">
        <v>0</v>
      </c>
      <c r="F127" s="98">
        <v>37.777986832731678</v>
      </c>
      <c r="G127" s="98">
        <v>-90.21827600934445</v>
      </c>
      <c r="H127" s="98">
        <v>59.303936737315432</v>
      </c>
      <c r="I127" s="98">
        <v>-29.36450597201307</v>
      </c>
      <c r="J127" s="98">
        <v>-68.66315262948693</v>
      </c>
      <c r="K127" s="98">
        <v>1.4091700129587299</v>
      </c>
      <c r="L127" s="98">
        <v>-0.63485561007137037</v>
      </c>
      <c r="M127" s="401">
        <f t="shared" si="12"/>
        <v>2.5000000000000001E-2</v>
      </c>
      <c r="N127" s="370">
        <v>1</v>
      </c>
      <c r="O127" s="34">
        <f t="shared" si="10"/>
        <v>0.15</v>
      </c>
      <c r="P127" s="12">
        <f t="array" ref="P127">SQRT(ABS(MMULT(MMULT(M127:O127,$J$129:$L$131),TRANSPOSE(M127:O127)))/2)</f>
        <v>6.3546440729757431E-2</v>
      </c>
      <c r="Q127" s="426">
        <f t="shared" si="11"/>
        <v>2.5000000000000001E-2</v>
      </c>
    </row>
    <row r="128" spans="3:19" ht="15.75" thickBot="1">
      <c r="C128" s="369">
        <v>8.8807005030637836</v>
      </c>
      <c r="D128" s="98">
        <v>-22.248452203885407</v>
      </c>
      <c r="E128" s="98">
        <v>0</v>
      </c>
      <c r="F128" s="98">
        <v>17.184610502403753</v>
      </c>
      <c r="G128" s="98">
        <v>-20.309856930782242</v>
      </c>
      <c r="H128" s="98">
        <v>-29.364505972013063</v>
      </c>
      <c r="I128" s="98">
        <v>45.857504101213159</v>
      </c>
      <c r="J128" s="98">
        <v>-30.519584460902148</v>
      </c>
      <c r="K128" s="98">
        <v>0.64526809659262141</v>
      </c>
      <c r="L128" s="98">
        <v>-0.26467749494158033</v>
      </c>
      <c r="M128" s="401">
        <f t="shared" si="12"/>
        <v>3.0000000000000002E-2</v>
      </c>
      <c r="N128" s="370">
        <v>1</v>
      </c>
      <c r="O128" s="34">
        <f t="shared" si="10"/>
        <v>0.15</v>
      </c>
      <c r="P128" s="12">
        <f t="array" ref="P128">SQRT(ABS(MMULT(MMULT(M128:O128,$J$129:$L$131),TRANSPOSE(M128:O128)))/2)</f>
        <v>8.3524657415387241E-2</v>
      </c>
      <c r="Q128" s="426">
        <f t="shared" si="11"/>
        <v>3.0000000000000002E-2</v>
      </c>
    </row>
    <row r="129" spans="3:17">
      <c r="C129" s="369">
        <v>-0.56487578529194382</v>
      </c>
      <c r="D129" s="98">
        <v>43.990461827418649</v>
      </c>
      <c r="E129" s="98">
        <v>0</v>
      </c>
      <c r="F129" s="98">
        <v>87.585733755359172</v>
      </c>
      <c r="G129" s="98">
        <v>-31.828582707096835</v>
      </c>
      <c r="H129" s="98">
        <v>-68.663152629486916</v>
      </c>
      <c r="I129" s="98">
        <v>-30.519584460902152</v>
      </c>
      <c r="J129" s="420">
        <v>-75.771502282467267</v>
      </c>
      <c r="K129" s="421">
        <v>1.5520454895549576</v>
      </c>
      <c r="L129" s="421">
        <v>-0.37315220116369319</v>
      </c>
      <c r="M129" s="401">
        <f t="shared" si="12"/>
        <v>3.5000000000000003E-2</v>
      </c>
      <c r="N129" s="370">
        <v>1</v>
      </c>
      <c r="O129" s="34">
        <f t="shared" si="10"/>
        <v>0.15</v>
      </c>
      <c r="P129" s="12">
        <f t="array" ref="P129">SQRT(ABS(MMULT(MMULT(M129:O129,$J$129:$L$131),TRANSPOSE(M129:O129)))/2)</f>
        <v>0.1086686441452028</v>
      </c>
      <c r="Q129" s="426">
        <f t="shared" si="11"/>
        <v>3.5000000000000003E-2</v>
      </c>
    </row>
    <row r="130" spans="3:17">
      <c r="C130" s="369">
        <v>0.73374470975234363</v>
      </c>
      <c r="D130" s="98">
        <v>-1.1898532191241193</v>
      </c>
      <c r="E130" s="98">
        <v>0</v>
      </c>
      <c r="F130" s="98">
        <v>-1.2418327238780418</v>
      </c>
      <c r="G130" s="98">
        <v>0.64350312369846652</v>
      </c>
      <c r="H130" s="98">
        <v>1.4091700129587297</v>
      </c>
      <c r="I130" s="98">
        <v>0.64526809659262152</v>
      </c>
      <c r="J130" s="422">
        <v>1.5520454895549571</v>
      </c>
      <c r="K130" s="423">
        <v>-3.7353426295924551E-2</v>
      </c>
      <c r="L130" s="423">
        <v>6.4765618903137086E-3</v>
      </c>
      <c r="M130" s="401">
        <f t="shared" si="12"/>
        <v>0.04</v>
      </c>
      <c r="N130" s="370">
        <v>1</v>
      </c>
      <c r="O130" s="34">
        <f t="shared" si="10"/>
        <v>0.15</v>
      </c>
      <c r="P130" s="12">
        <f t="array" ref="P130">SQRT(ABS(MMULT(MMULT(M130:O130,$J$129:$L$131),TRANSPOSE(M130:O130)))/2)</f>
        <v>0.13614575866113979</v>
      </c>
      <c r="Q130" s="426">
        <f t="shared" si="11"/>
        <v>0.04</v>
      </c>
    </row>
    <row r="131" spans="3:17" ht="15.75" thickBot="1">
      <c r="C131" s="372">
        <v>-0.1136115688596649</v>
      </c>
      <c r="D131" s="373">
        <v>0.24820280980961268</v>
      </c>
      <c r="E131" s="373">
        <v>1</v>
      </c>
      <c r="F131" s="373">
        <v>0.25383906900233916</v>
      </c>
      <c r="G131" s="373">
        <v>-0.48889720493933653</v>
      </c>
      <c r="H131" s="373">
        <v>-0.63485561007137004</v>
      </c>
      <c r="I131" s="373">
        <v>-0.26467749494158033</v>
      </c>
      <c r="J131" s="424">
        <v>-0.37315220116369296</v>
      </c>
      <c r="K131" s="425">
        <v>6.4765618903137052E-3</v>
      </c>
      <c r="L131" s="425">
        <v>-4.9905143328371525E-3</v>
      </c>
      <c r="M131" s="401">
        <f t="shared" si="12"/>
        <v>4.4999999999999998E-2</v>
      </c>
      <c r="N131" s="370">
        <v>1</v>
      </c>
      <c r="O131" s="34">
        <f t="shared" si="10"/>
        <v>0.15</v>
      </c>
      <c r="P131" s="12">
        <f t="array" ref="P131">SQRT(ABS(MMULT(MMULT(M131:O131,$J$129:$L$131),TRANSPOSE(M131:O131)))/2)</f>
        <v>0.16479304760680771</v>
      </c>
      <c r="Q131" s="426">
        <f t="shared" si="11"/>
        <v>4.4999999999999998E-2</v>
      </c>
    </row>
    <row r="132" spans="3:17">
      <c r="M132" s="401">
        <f t="shared" si="12"/>
        <v>4.9999999999999996E-2</v>
      </c>
      <c r="N132" s="370">
        <v>1</v>
      </c>
      <c r="O132" s="34">
        <f t="shared" si="10"/>
        <v>0.15</v>
      </c>
      <c r="P132" s="12">
        <f t="array" ref="P132">SQRT(ABS(MMULT(MMULT(M132:O132,$J$129:$L$131),TRANSPOSE(M132:O132)))/2)</f>
        <v>0.1940930628196782</v>
      </c>
      <c r="Q132" s="426">
        <f t="shared" si="11"/>
        <v>4.9999999999999996E-2</v>
      </c>
    </row>
    <row r="133" spans="3:17">
      <c r="M133" s="401">
        <f t="shared" si="12"/>
        <v>5.4999999999999993E-2</v>
      </c>
      <c r="N133" s="370">
        <v>1</v>
      </c>
      <c r="O133" s="34">
        <f t="shared" si="10"/>
        <v>0.15</v>
      </c>
      <c r="P133" s="12">
        <f t="array" ref="P133">SQRT(ABS(MMULT(MMULT(M133:O133,$J$129:$L$131),TRANSPOSE(M133:O133)))/2)</f>
        <v>0.2237895732311253</v>
      </c>
      <c r="Q133" s="426">
        <f t="shared" si="11"/>
        <v>5.4999999999999993E-2</v>
      </c>
    </row>
    <row r="134" spans="3:17">
      <c r="M134" s="401">
        <f t="shared" si="12"/>
        <v>5.9999999999999991E-2</v>
      </c>
      <c r="N134" s="370">
        <v>1</v>
      </c>
      <c r="O134" s="34">
        <f t="shared" si="10"/>
        <v>0.15</v>
      </c>
      <c r="P134" s="12">
        <f t="array" ref="P134">SQRT(ABS(MMULT(MMULT(M134:O134,$J$129:$L$131),TRANSPOSE(M134:O134)))/2)</f>
        <v>0.25374340719765803</v>
      </c>
      <c r="Q134" s="426">
        <f t="shared" si="11"/>
        <v>5.9999999999999991E-2</v>
      </c>
    </row>
    <row r="135" spans="3:17">
      <c r="M135" s="401">
        <f t="shared" si="12"/>
        <v>6.4999999999999988E-2</v>
      </c>
      <c r="N135" s="370">
        <v>1</v>
      </c>
      <c r="O135" s="34">
        <f t="shared" si="10"/>
        <v>0.15</v>
      </c>
      <c r="P135" s="12">
        <f t="array" ref="P135">SQRT(ABS(MMULT(MMULT(M135:O135,$J$129:$L$131),TRANSPOSE(M135:O135)))/2)</f>
        <v>0.28387311930270093</v>
      </c>
      <c r="Q135" s="426">
        <f t="shared" si="11"/>
        <v>6.4999999999999988E-2</v>
      </c>
    </row>
    <row r="136" spans="3:17">
      <c r="M136" s="401">
        <f t="shared" si="12"/>
        <v>6.9999999999999993E-2</v>
      </c>
      <c r="N136" s="370">
        <v>1</v>
      </c>
      <c r="O136" s="34">
        <f t="shared" si="10"/>
        <v>0.15</v>
      </c>
      <c r="P136" s="12">
        <f t="array" ref="P136">SQRT(ABS(MMULT(MMULT(M136:O136,$J$129:$L$131),TRANSPOSE(M136:O136)))/2)</f>
        <v>0.31412810537434593</v>
      </c>
      <c r="Q136" s="426">
        <f t="shared" si="11"/>
        <v>6.9999999999999993E-2</v>
      </c>
    </row>
    <row r="137" spans="3:17">
      <c r="M137" s="401">
        <f t="shared" si="12"/>
        <v>7.4999999999999997E-2</v>
      </c>
      <c r="N137" s="370">
        <v>1</v>
      </c>
      <c r="O137" s="34">
        <f t="shared" si="10"/>
        <v>0.15</v>
      </c>
      <c r="P137" s="12">
        <f t="array" ref="P137">SQRT(ABS(MMULT(MMULT(M137:O137,$J$129:$L$131),TRANSPOSE(M137:O137)))/2)</f>
        <v>0.34447535886702918</v>
      </c>
      <c r="Q137" s="426">
        <f t="shared" si="11"/>
        <v>7.4999999999999997E-2</v>
      </c>
    </row>
    <row r="138" spans="3:17">
      <c r="M138" s="401">
        <f t="shared" si="12"/>
        <v>0.08</v>
      </c>
      <c r="N138" s="370">
        <v>1</v>
      </c>
      <c r="O138" s="34">
        <f t="shared" si="10"/>
        <v>0.15</v>
      </c>
      <c r="P138" s="12">
        <f t="array" ref="P138">SQRT(ABS(MMULT(MMULT(M138:O138,$J$129:$L$131),TRANSPOSE(M138:O138)))/2)</f>
        <v>0.37489247352290578</v>
      </c>
      <c r="Q138" s="426">
        <f t="shared" si="11"/>
        <v>0.08</v>
      </c>
    </row>
    <row r="139" spans="3:17">
      <c r="M139" s="401">
        <f t="shared" si="12"/>
        <v>8.5000000000000006E-2</v>
      </c>
      <c r="N139" s="370">
        <v>1</v>
      </c>
      <c r="O139" s="34">
        <f t="shared" si="10"/>
        <v>0.15</v>
      </c>
      <c r="P139" s="12">
        <f t="array" ref="P139">SQRT(ABS(MMULT(MMULT(M139:O139,$J$129:$L$131),TRANSPOSE(M139:O139)))/2)</f>
        <v>0.4053637232150139</v>
      </c>
      <c r="Q139" s="426">
        <f t="shared" si="11"/>
        <v>8.5000000000000006E-2</v>
      </c>
    </row>
    <row r="140" spans="3:17">
      <c r="M140" s="401">
        <f t="shared" si="12"/>
        <v>9.0000000000000011E-2</v>
      </c>
      <c r="N140" s="370">
        <v>1</v>
      </c>
      <c r="O140" s="34">
        <f t="shared" si="10"/>
        <v>0.15</v>
      </c>
      <c r="P140" s="12">
        <f t="array" ref="P140">SQRT(ABS(MMULT(MMULT(M140:O140,$J$129:$L$131),TRANSPOSE(M140:O140)))/2)</f>
        <v>0.43587775470929441</v>
      </c>
      <c r="Q140" s="426">
        <f t="shared" si="11"/>
        <v>9.0000000000000011E-2</v>
      </c>
    </row>
    <row r="141" spans="3:17">
      <c r="M141" s="401">
        <f t="shared" si="12"/>
        <v>9.5000000000000015E-2</v>
      </c>
      <c r="N141" s="370">
        <v>1</v>
      </c>
      <c r="O141" s="34">
        <f t="shared" si="10"/>
        <v>0.15</v>
      </c>
      <c r="P141" s="12">
        <f t="array" ref="P141">SQRT(ABS(MMULT(MMULT(M141:O141,$J$129:$L$131),TRANSPOSE(M141:O141)))/2)</f>
        <v>0.4664261716061342</v>
      </c>
      <c r="Q141" s="426">
        <f t="shared" si="11"/>
        <v>9.5000000000000015E-2</v>
      </c>
    </row>
    <row r="142" spans="3:17">
      <c r="M142" s="403">
        <f t="shared" si="12"/>
        <v>0.10000000000000002</v>
      </c>
      <c r="N142" s="404">
        <v>1</v>
      </c>
      <c r="O142" s="35">
        <f t="shared" si="10"/>
        <v>0.15</v>
      </c>
      <c r="P142" s="13">
        <f t="array" ref="P142">SQRT(ABS(MMULT(MMULT(M142:O142,$J$129:$L$131),TRANSPOSE(M142:O142)))/2)</f>
        <v>0.49700263341853201</v>
      </c>
      <c r="Q142" s="427">
        <f t="shared" si="11"/>
        <v>0.10000000000000002</v>
      </c>
    </row>
  </sheetData>
  <mergeCells count="7">
    <mergeCell ref="M120:Q120"/>
    <mergeCell ref="W6:Z6"/>
    <mergeCell ref="AA23:AB23"/>
    <mergeCell ref="W29:X29"/>
    <mergeCell ref="C11:E11"/>
    <mergeCell ref="C30:E30"/>
    <mergeCell ref="M50:P50"/>
  </mergeCells>
  <conditionalFormatting sqref="O52:O72">
    <cfRule type="cellIs" dxfId="1" priority="2" operator="equal">
      <formula>$S$48</formula>
    </cfRule>
  </conditionalFormatting>
  <conditionalFormatting sqref="P122:P142">
    <cfRule type="cellIs" dxfId="0" priority="1" operator="equal">
      <formula>$S$117</formula>
    </cfRule>
  </conditionalFormatting>
  <dataValidations count="1">
    <dataValidation type="list" allowBlank="1" showInputMessage="1" showErrorMessage="1" sqref="C32:C38 C13:C19">
      <formula1>STOCK_LISTS</formula1>
    </dataValidation>
  </dataValidations>
  <pageMargins left="0.7" right="0.7" top="0.75" bottom="0.75" header="0.3" footer="0.3"/>
  <drawing r:id="rId1"/>
  <legacyDrawing r:id="rId2"/>
  <oleObjects>
    <oleObject progId="Equation.3" shapeId="6147" r:id="rId3"/>
    <oleObject progId="Equation.3" shapeId="6148" r:id="rId4"/>
  </oleObjects>
</worksheet>
</file>

<file path=xl/worksheets/sheet5.xml><?xml version="1.0" encoding="utf-8"?>
<worksheet xmlns="http://schemas.openxmlformats.org/spreadsheetml/2006/main" xmlns:r="http://schemas.openxmlformats.org/officeDocument/2006/relationships">
  <dimension ref="A3:O195"/>
  <sheetViews>
    <sheetView showGridLines="0" topLeftCell="A167" workbookViewId="0">
      <selection activeCell="J179" sqref="J179"/>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3" ht="22.5">
      <c r="A3" s="633" t="s">
        <v>318</v>
      </c>
      <c r="B3" s="634"/>
      <c r="C3" s="634"/>
      <c r="D3" s="634"/>
      <c r="E3" s="634"/>
      <c r="F3" s="634"/>
      <c r="G3" s="634"/>
      <c r="H3" s="634"/>
      <c r="I3" s="634"/>
      <c r="J3" s="634"/>
      <c r="K3" s="634"/>
      <c r="L3" s="634"/>
    </row>
    <row r="5" spans="1:13" ht="15.75">
      <c r="A5" s="212" t="s">
        <v>319</v>
      </c>
      <c r="B5" s="437"/>
      <c r="C5" s="437"/>
      <c r="D5" s="437"/>
      <c r="E5" s="437"/>
      <c r="F5" s="437"/>
      <c r="G5" s="184"/>
      <c r="H5" s="438"/>
      <c r="I5" s="438"/>
      <c r="J5" s="438"/>
      <c r="K5" s="438"/>
      <c r="L5" s="438"/>
      <c r="M5" s="130"/>
    </row>
    <row r="6" spans="1:13">
      <c r="A6" s="436"/>
      <c r="B6" s="436"/>
      <c r="C6" s="436"/>
      <c r="D6" s="436"/>
      <c r="E6" s="436"/>
      <c r="F6" s="436"/>
      <c r="G6" s="130"/>
      <c r="H6" s="439"/>
      <c r="I6" s="439"/>
      <c r="J6" s="439"/>
      <c r="K6" s="439"/>
      <c r="L6" s="439"/>
      <c r="M6" s="130"/>
    </row>
    <row r="7" spans="1:13">
      <c r="A7" s="635" t="s">
        <v>320</v>
      </c>
      <c r="B7" s="635"/>
      <c r="C7" s="635"/>
      <c r="D7" s="635"/>
      <c r="E7" s="635"/>
      <c r="F7" s="635"/>
      <c r="G7" s="130"/>
      <c r="H7" s="439"/>
      <c r="I7" s="439"/>
      <c r="J7" s="439"/>
      <c r="K7" s="439"/>
      <c r="L7" s="439"/>
      <c r="M7" s="130"/>
    </row>
    <row r="8" spans="1:13">
      <c r="A8" s="635"/>
      <c r="B8" s="635"/>
      <c r="C8" s="635"/>
      <c r="D8" s="635"/>
      <c r="E8" s="635"/>
      <c r="F8" s="635"/>
      <c r="G8" s="130"/>
      <c r="H8" s="439"/>
      <c r="I8" s="439"/>
      <c r="J8" s="439"/>
      <c r="K8" s="439"/>
      <c r="L8" s="439"/>
      <c r="M8" s="130"/>
    </row>
    <row r="9" spans="1:13">
      <c r="A9" s="635"/>
      <c r="B9" s="635"/>
      <c r="C9" s="635"/>
      <c r="D9" s="635"/>
      <c r="E9" s="635"/>
      <c r="F9" s="635"/>
      <c r="G9" s="130"/>
      <c r="H9" s="439"/>
      <c r="I9" s="439"/>
      <c r="J9" s="439"/>
      <c r="K9" s="439"/>
      <c r="L9" s="439"/>
      <c r="M9" s="130"/>
    </row>
    <row r="10" spans="1:13">
      <c r="A10" s="436"/>
      <c r="B10" s="436"/>
      <c r="C10" s="436"/>
      <c r="D10" s="436"/>
      <c r="E10" s="436"/>
      <c r="F10" s="436"/>
      <c r="G10" s="130"/>
      <c r="H10" s="439"/>
      <c r="I10" s="439"/>
      <c r="J10" s="439"/>
      <c r="K10" s="439"/>
      <c r="L10" s="439"/>
      <c r="M10" s="130"/>
    </row>
    <row r="11" spans="1:13" ht="15.75">
      <c r="A11" s="440" t="s">
        <v>321</v>
      </c>
      <c r="B11" s="441"/>
      <c r="C11" s="441"/>
      <c r="D11" s="441"/>
      <c r="E11" s="441"/>
      <c r="F11" s="441"/>
      <c r="G11" s="442"/>
      <c r="H11" s="442"/>
      <c r="I11" s="442"/>
      <c r="J11" s="442"/>
      <c r="K11" s="442"/>
      <c r="L11" s="442"/>
      <c r="M11" s="442"/>
    </row>
    <row r="12" spans="1:13" ht="15.75">
      <c r="A12" s="443"/>
      <c r="B12" s="205"/>
      <c r="C12" s="205"/>
      <c r="D12" s="444"/>
      <c r="E12" s="205"/>
      <c r="F12" s="205"/>
      <c r="G12" s="442"/>
      <c r="H12" s="442"/>
      <c r="I12" s="442"/>
      <c r="J12" s="442"/>
      <c r="K12" s="442"/>
      <c r="L12" s="442"/>
      <c r="M12" s="442"/>
    </row>
    <row r="13" spans="1:13" ht="15.75">
      <c r="A13" s="443"/>
      <c r="B13" s="205"/>
      <c r="C13" s="205"/>
      <c r="D13" s="444"/>
      <c r="E13" s="205"/>
      <c r="F13" s="205"/>
      <c r="G13" s="442"/>
      <c r="H13" s="442"/>
      <c r="I13" s="442"/>
      <c r="J13" s="442"/>
      <c r="K13" s="442"/>
      <c r="L13" s="442"/>
      <c r="M13" s="442"/>
    </row>
    <row r="14" spans="1:13" ht="15.75">
      <c r="A14" s="443"/>
      <c r="B14" s="205"/>
      <c r="C14" s="205"/>
      <c r="D14" s="444"/>
      <c r="E14" s="205"/>
      <c r="F14" s="205"/>
      <c r="G14" s="442"/>
      <c r="H14" s="442"/>
      <c r="I14" s="442"/>
      <c r="J14" s="442"/>
      <c r="K14" s="442"/>
      <c r="L14" s="442"/>
      <c r="M14" s="442"/>
    </row>
    <row r="15" spans="1:13" ht="15.75">
      <c r="A15" s="443"/>
      <c r="B15" s="205"/>
      <c r="C15" s="205"/>
      <c r="D15" s="444"/>
      <c r="E15" s="205"/>
      <c r="F15" s="205"/>
      <c r="G15" s="442"/>
      <c r="H15" s="442"/>
      <c r="I15" s="442"/>
      <c r="J15" s="442"/>
      <c r="K15" s="442"/>
      <c r="L15" s="442"/>
      <c r="M15" s="442"/>
    </row>
    <row r="16" spans="1:13" ht="15.75">
      <c r="A16" s="443"/>
      <c r="B16" s="205"/>
      <c r="C16" s="205"/>
      <c r="D16" s="444"/>
      <c r="E16" s="205"/>
      <c r="F16" s="205"/>
      <c r="G16" s="442"/>
      <c r="H16" s="442"/>
      <c r="I16" s="442"/>
      <c r="J16" s="442"/>
      <c r="K16" s="442"/>
      <c r="L16" s="442"/>
      <c r="M16" s="442"/>
    </row>
    <row r="17" spans="1:13" ht="15.75">
      <c r="A17" s="443"/>
      <c r="B17" s="205"/>
      <c r="C17" s="205"/>
      <c r="D17" s="444"/>
      <c r="E17" s="205"/>
      <c r="F17" s="205"/>
      <c r="G17" s="442"/>
      <c r="H17" s="442"/>
      <c r="I17" s="442"/>
      <c r="J17" s="442"/>
      <c r="K17" s="442"/>
      <c r="L17" s="442"/>
      <c r="M17" s="442"/>
    </row>
    <row r="18" spans="1:13" ht="15.75">
      <c r="A18" s="443"/>
      <c r="B18" s="205"/>
      <c r="C18" s="205"/>
      <c r="D18" s="444"/>
      <c r="E18" s="205"/>
      <c r="F18" s="205"/>
      <c r="G18" s="442"/>
      <c r="H18" s="442"/>
      <c r="I18" s="442"/>
      <c r="J18" s="442"/>
      <c r="K18" s="442"/>
      <c r="L18" s="442"/>
      <c r="M18" s="442"/>
    </row>
    <row r="19" spans="1:13" ht="15.75">
      <c r="A19" s="443"/>
      <c r="B19" s="205"/>
      <c r="C19" s="205"/>
      <c r="D19" s="444"/>
      <c r="E19" s="205"/>
      <c r="F19" s="205"/>
      <c r="G19" s="442"/>
      <c r="H19" s="442"/>
      <c r="I19" s="442"/>
      <c r="J19" s="442"/>
      <c r="K19" s="442"/>
      <c r="L19" s="442"/>
      <c r="M19" s="442"/>
    </row>
    <row r="20" spans="1:13" ht="15.75">
      <c r="A20" s="443"/>
      <c r="B20" s="205"/>
      <c r="C20" s="205"/>
      <c r="D20" s="444"/>
      <c r="E20" s="205"/>
      <c r="F20" s="205"/>
      <c r="G20" s="442"/>
      <c r="H20" s="442"/>
      <c r="I20" s="442"/>
      <c r="J20" s="442"/>
      <c r="K20" s="442"/>
      <c r="L20" s="442"/>
      <c r="M20" s="442"/>
    </row>
    <row r="21" spans="1:13" ht="15.75">
      <c r="A21" s="443"/>
      <c r="B21" s="205"/>
      <c r="C21" s="205"/>
      <c r="D21" s="444"/>
      <c r="E21" s="205"/>
      <c r="F21" s="205"/>
      <c r="G21" s="442"/>
      <c r="H21" s="442"/>
      <c r="I21" s="442"/>
      <c r="J21" s="442"/>
      <c r="K21" s="442"/>
      <c r="L21" s="442"/>
      <c r="M21" s="442"/>
    </row>
    <row r="22" spans="1:13" ht="15.75">
      <c r="A22" s="443"/>
      <c r="B22" s="205"/>
      <c r="C22" s="205"/>
      <c r="D22" s="444"/>
      <c r="E22" s="205"/>
      <c r="F22" s="205"/>
      <c r="G22" s="442"/>
      <c r="H22" s="442"/>
      <c r="I22" s="442"/>
      <c r="J22" s="442"/>
      <c r="K22" s="442"/>
      <c r="L22" s="442"/>
      <c r="M22" s="442"/>
    </row>
    <row r="23" spans="1:13">
      <c r="A23" s="205"/>
      <c r="B23" s="205"/>
      <c r="C23" s="205"/>
      <c r="D23" s="445"/>
      <c r="E23" s="205"/>
      <c r="F23" s="205"/>
      <c r="G23" s="442"/>
      <c r="H23" s="442"/>
      <c r="I23" s="442"/>
      <c r="J23" s="442"/>
      <c r="K23" s="442"/>
      <c r="L23" s="442"/>
      <c r="M23" s="442"/>
    </row>
    <row r="24" spans="1:13">
      <c r="A24" s="205"/>
      <c r="B24" s="205"/>
      <c r="C24" s="205"/>
      <c r="D24" s="205"/>
      <c r="E24" s="205"/>
      <c r="F24" s="205"/>
      <c r="G24" s="442"/>
      <c r="H24" s="442"/>
      <c r="I24" s="442"/>
      <c r="J24" s="442"/>
      <c r="K24" s="442"/>
      <c r="L24" s="442"/>
      <c r="M24" s="442"/>
    </row>
    <row r="25" spans="1:13">
      <c r="A25" s="205"/>
      <c r="B25" s="205"/>
      <c r="C25" s="205"/>
      <c r="D25" s="205"/>
      <c r="E25" s="205"/>
      <c r="F25" s="205"/>
      <c r="G25" s="442"/>
      <c r="H25" s="442"/>
      <c r="I25" s="442"/>
      <c r="J25" s="442"/>
      <c r="K25" s="442"/>
      <c r="L25" s="442"/>
      <c r="M25" s="442"/>
    </row>
    <row r="26" spans="1:13">
      <c r="A26" s="205"/>
      <c r="B26" s="205"/>
      <c r="C26" s="205"/>
      <c r="D26" s="205"/>
      <c r="E26" s="205"/>
      <c r="F26" s="205"/>
      <c r="G26" s="442"/>
      <c r="H26" s="442"/>
      <c r="I26" s="442"/>
      <c r="J26" s="442"/>
      <c r="K26" s="442"/>
      <c r="L26" s="442"/>
      <c r="M26" s="442"/>
    </row>
    <row r="27" spans="1:13">
      <c r="A27" s="205"/>
      <c r="B27" s="205"/>
      <c r="C27" s="205"/>
      <c r="D27" s="205"/>
      <c r="E27" s="443"/>
      <c r="F27" s="205"/>
      <c r="G27" s="442"/>
      <c r="H27" s="442"/>
      <c r="I27" s="442"/>
      <c r="J27" s="442"/>
      <c r="K27" s="442"/>
      <c r="L27" s="442"/>
      <c r="M27" s="442"/>
    </row>
    <row r="28" spans="1:13">
      <c r="A28" s="205"/>
      <c r="B28" s="205"/>
      <c r="C28" s="205"/>
      <c r="D28" s="205"/>
      <c r="E28" s="205"/>
      <c r="F28" s="205"/>
      <c r="G28" s="442"/>
      <c r="H28" s="446"/>
      <c r="I28" s="442"/>
      <c r="J28" s="442"/>
      <c r="K28" s="442"/>
      <c r="L28" s="442"/>
      <c r="M28" s="442"/>
    </row>
    <row r="29" spans="1:13">
      <c r="A29" s="447"/>
      <c r="B29" s="448"/>
      <c r="C29" s="448"/>
      <c r="D29" s="448"/>
      <c r="E29" s="448"/>
      <c r="F29" s="205"/>
      <c r="G29" s="442"/>
      <c r="H29" s="442"/>
      <c r="I29" s="442"/>
      <c r="J29" s="442"/>
      <c r="K29" s="442"/>
      <c r="L29" s="442"/>
      <c r="M29" s="442"/>
    </row>
    <row r="30" spans="1:13">
      <c r="A30" s="447"/>
      <c r="B30" s="448"/>
      <c r="C30" s="448"/>
      <c r="D30" s="448"/>
      <c r="E30" s="449"/>
      <c r="F30" s="205"/>
      <c r="G30" s="442"/>
      <c r="H30" s="442"/>
      <c r="I30" s="442"/>
      <c r="J30" s="442"/>
      <c r="K30" s="442"/>
      <c r="L30" s="442"/>
      <c r="M30" s="442"/>
    </row>
    <row r="31" spans="1:13">
      <c r="A31" s="447"/>
      <c r="B31" s="448"/>
      <c r="C31" s="448"/>
      <c r="D31" s="448"/>
      <c r="E31" s="448"/>
      <c r="F31" s="205"/>
      <c r="G31" s="442"/>
      <c r="H31" s="442"/>
      <c r="I31" s="442"/>
      <c r="J31" s="442"/>
      <c r="K31" s="442"/>
      <c r="L31" s="442"/>
      <c r="M31" s="442"/>
    </row>
    <row r="32" spans="1:13">
      <c r="A32" s="447"/>
      <c r="B32" s="448"/>
      <c r="C32" s="448"/>
      <c r="D32" s="448"/>
      <c r="E32" s="450"/>
      <c r="F32" s="205"/>
      <c r="G32" s="442"/>
      <c r="H32" s="442"/>
      <c r="I32" s="442"/>
      <c r="J32" s="442"/>
      <c r="K32" s="442"/>
      <c r="L32" s="442"/>
      <c r="M32" s="442"/>
    </row>
    <row r="33" spans="1:13">
      <c r="A33" s="447"/>
      <c r="B33" s="448"/>
      <c r="C33" s="448"/>
      <c r="D33" s="448"/>
      <c r="E33" s="448"/>
      <c r="F33" s="205"/>
      <c r="G33" s="442"/>
      <c r="H33" s="442"/>
      <c r="I33" s="442"/>
      <c r="J33" s="442"/>
      <c r="K33" s="442"/>
      <c r="L33" s="442"/>
      <c r="M33" s="442"/>
    </row>
    <row r="34" spans="1:13">
      <c r="A34" s="447"/>
      <c r="B34" s="448"/>
      <c r="C34" s="448"/>
      <c r="D34" s="448"/>
      <c r="E34" s="451"/>
      <c r="F34" s="205"/>
      <c r="G34" s="442"/>
      <c r="H34" s="442"/>
      <c r="I34" s="442"/>
      <c r="J34" s="442"/>
      <c r="K34" s="442"/>
      <c r="L34" s="442"/>
      <c r="M34" s="442"/>
    </row>
    <row r="35" spans="1:13">
      <c r="A35" s="447"/>
      <c r="B35" s="448"/>
      <c r="C35" s="448"/>
      <c r="D35" s="448"/>
      <c r="E35" s="448"/>
      <c r="F35" s="205"/>
      <c r="G35" s="442"/>
      <c r="H35" s="442"/>
      <c r="I35" s="442"/>
      <c r="J35" s="442"/>
      <c r="K35" s="442"/>
      <c r="L35" s="442"/>
      <c r="M35" s="442"/>
    </row>
    <row r="36" spans="1:13">
      <c r="A36" s="447"/>
      <c r="B36" s="448"/>
      <c r="C36" s="448"/>
      <c r="D36" s="448"/>
      <c r="E36" s="448"/>
      <c r="F36" s="205"/>
      <c r="G36" s="442"/>
      <c r="H36" s="442"/>
      <c r="I36" s="442"/>
      <c r="J36" s="442"/>
      <c r="K36" s="442"/>
      <c r="L36" s="442"/>
      <c r="M36" s="442"/>
    </row>
    <row r="37" spans="1:13" ht="15.75" thickBot="1">
      <c r="A37" s="145"/>
      <c r="B37" s="636" t="s">
        <v>322</v>
      </c>
      <c r="C37" s="636"/>
      <c r="D37" s="636"/>
      <c r="E37" s="636"/>
      <c r="F37" s="145"/>
      <c r="G37" s="442"/>
      <c r="H37" s="442"/>
      <c r="I37" s="442"/>
      <c r="J37" s="442"/>
      <c r="K37" s="442"/>
      <c r="L37" s="442"/>
      <c r="M37" s="442"/>
    </row>
    <row r="38" spans="1:13" ht="15.75" thickBot="1">
      <c r="A38" s="197" t="s">
        <v>106</v>
      </c>
      <c r="B38" s="452" t="s">
        <v>323</v>
      </c>
      <c r="C38" s="453" t="s">
        <v>324</v>
      </c>
      <c r="D38" s="454" t="s">
        <v>325</v>
      </c>
      <c r="E38" s="455" t="s">
        <v>326</v>
      </c>
      <c r="F38" s="145"/>
      <c r="G38" s="442"/>
      <c r="H38" s="442"/>
      <c r="I38" s="442"/>
      <c r="J38" s="442"/>
      <c r="K38" s="442"/>
      <c r="L38" s="442"/>
      <c r="M38" s="442"/>
    </row>
    <row r="39" spans="1:13">
      <c r="A39" s="456">
        <v>1</v>
      </c>
      <c r="B39" s="457">
        <v>0.19</v>
      </c>
      <c r="C39" s="458">
        <v>0.26</v>
      </c>
      <c r="D39" s="459">
        <v>0.19</v>
      </c>
      <c r="E39" s="460">
        <v>0.12</v>
      </c>
      <c r="F39" s="145"/>
      <c r="G39" s="442"/>
      <c r="H39" s="442"/>
      <c r="I39" s="442"/>
      <c r="J39" s="442"/>
      <c r="K39" s="442"/>
      <c r="L39" s="442"/>
      <c r="M39" s="442"/>
    </row>
    <row r="40" spans="1:13">
      <c r="A40" s="456">
        <v>2</v>
      </c>
      <c r="B40" s="457">
        <v>0.25</v>
      </c>
      <c r="C40" s="458">
        <v>0.35</v>
      </c>
      <c r="D40" s="459">
        <v>0.25</v>
      </c>
      <c r="E40" s="460">
        <v>0.15</v>
      </c>
      <c r="F40" s="145"/>
      <c r="G40" s="442"/>
      <c r="H40" s="442"/>
      <c r="I40" s="442"/>
      <c r="J40" s="442"/>
      <c r="K40" s="442"/>
      <c r="L40" s="442"/>
      <c r="M40" s="442"/>
    </row>
    <row r="41" spans="1:13" ht="15.75" thickBot="1">
      <c r="A41" s="461">
        <v>3</v>
      </c>
      <c r="B41" s="462">
        <v>-0.15</v>
      </c>
      <c r="C41" s="463">
        <v>-0.25</v>
      </c>
      <c r="D41" s="464">
        <v>-0.15</v>
      </c>
      <c r="E41" s="465">
        <v>-0.05</v>
      </c>
      <c r="F41" s="145"/>
      <c r="G41" s="442"/>
      <c r="H41" s="442"/>
      <c r="I41" s="442"/>
      <c r="J41" s="442"/>
      <c r="K41" s="442"/>
      <c r="L41" s="442"/>
      <c r="M41" s="442"/>
    </row>
    <row r="42" spans="1:13">
      <c r="A42" s="466" t="s">
        <v>327</v>
      </c>
      <c r="B42" s="457">
        <f>AVERAGE(B39:B41)</f>
        <v>9.6666666666666679E-2</v>
      </c>
      <c r="C42" s="458">
        <f>AVERAGE(C39:C41)</f>
        <v>0.12</v>
      </c>
      <c r="D42" s="459">
        <f>AVERAGE(D39:D41)</f>
        <v>9.6666666666666679E-2</v>
      </c>
      <c r="E42" s="460">
        <f>AVERAGE(E39:E41)</f>
        <v>7.3333333333333348E-2</v>
      </c>
      <c r="F42" s="205"/>
      <c r="G42" s="442"/>
      <c r="H42" s="467"/>
      <c r="I42" s="442"/>
      <c r="J42" s="442"/>
      <c r="K42" s="442"/>
      <c r="L42" s="442"/>
      <c r="M42" s="442"/>
    </row>
    <row r="43" spans="1:13">
      <c r="A43" s="468" t="s">
        <v>109</v>
      </c>
      <c r="B43" s="457">
        <f>STDEV(B39:B41)</f>
        <v>0.21571586249817912</v>
      </c>
      <c r="C43" s="458">
        <f>STDEV(C39:C41)</f>
        <v>0.32357379374726875</v>
      </c>
      <c r="D43" s="459">
        <f>STDEV(D39:D41)</f>
        <v>0.21571586249817912</v>
      </c>
      <c r="E43" s="460">
        <f>STDEV(E39:E41)</f>
        <v>0.10785793124908957</v>
      </c>
      <c r="F43" s="145"/>
      <c r="G43" s="442"/>
      <c r="H43" s="467"/>
      <c r="I43" s="442"/>
      <c r="J43" s="442"/>
      <c r="K43" s="442"/>
      <c r="L43" s="442"/>
      <c r="M43" s="442"/>
    </row>
    <row r="44" spans="1:13">
      <c r="A44" s="468" t="s">
        <v>328</v>
      </c>
      <c r="B44" s="457"/>
      <c r="C44" s="469">
        <f>C94</f>
        <v>1.5000000000000004</v>
      </c>
      <c r="D44" s="470">
        <f t="shared" ref="D44:E44" si="0">D94</f>
        <v>1.0000000000000002</v>
      </c>
      <c r="E44" s="471">
        <f t="shared" si="0"/>
        <v>0.50000000000000011</v>
      </c>
      <c r="F44" s="145"/>
      <c r="G44" s="442"/>
      <c r="H44" s="467"/>
      <c r="I44" s="442"/>
      <c r="J44" s="442"/>
      <c r="K44" s="442"/>
      <c r="L44" s="442"/>
      <c r="M44" s="442"/>
    </row>
    <row r="45" spans="1:13">
      <c r="A45" s="472"/>
      <c r="B45" s="473"/>
      <c r="C45" s="474"/>
      <c r="D45" s="475"/>
      <c r="E45" s="476"/>
      <c r="F45" s="205"/>
      <c r="G45" s="442"/>
      <c r="H45" s="467"/>
      <c r="I45" s="442"/>
      <c r="J45" s="442"/>
      <c r="K45" s="442"/>
      <c r="L45" s="442"/>
      <c r="M45" s="442"/>
    </row>
    <row r="46" spans="1:13">
      <c r="A46" s="637" t="s">
        <v>329</v>
      </c>
      <c r="B46" s="637"/>
      <c r="C46" s="637"/>
      <c r="D46" s="637"/>
      <c r="E46" s="637"/>
      <c r="F46" s="205"/>
      <c r="G46" s="442"/>
      <c r="H46" s="467"/>
      <c r="I46" s="442"/>
      <c r="J46" s="442"/>
      <c r="K46" s="442"/>
      <c r="L46" s="442"/>
      <c r="M46" s="442"/>
    </row>
    <row r="47" spans="1:13">
      <c r="A47" s="637"/>
      <c r="B47" s="637"/>
      <c r="C47" s="637"/>
      <c r="D47" s="637"/>
      <c r="E47" s="637"/>
      <c r="F47" s="205"/>
      <c r="G47" s="442"/>
      <c r="H47" s="467"/>
      <c r="I47" s="442"/>
      <c r="J47" s="442"/>
      <c r="K47" s="442"/>
      <c r="L47" s="442"/>
      <c r="M47" s="442"/>
    </row>
    <row r="48" spans="1:13">
      <c r="A48" s="637"/>
      <c r="B48" s="637"/>
      <c r="C48" s="637"/>
      <c r="D48" s="637"/>
      <c r="E48" s="637"/>
      <c r="F48" s="205"/>
      <c r="G48" s="442"/>
      <c r="H48" s="467"/>
      <c r="I48" s="442"/>
      <c r="J48" s="442"/>
      <c r="K48" s="442"/>
      <c r="L48" s="442"/>
      <c r="M48" s="442"/>
    </row>
    <row r="49" spans="1:13">
      <c r="A49" s="637"/>
      <c r="B49" s="637"/>
      <c r="C49" s="637"/>
      <c r="D49" s="637"/>
      <c r="E49" s="637"/>
      <c r="F49" s="205"/>
      <c r="G49" s="208"/>
      <c r="H49" s="467"/>
      <c r="I49" s="208"/>
      <c r="J49" s="208"/>
      <c r="K49" s="208"/>
      <c r="L49" s="208"/>
      <c r="M49" s="208"/>
    </row>
    <row r="50" spans="1:13">
      <c r="A50" s="477"/>
      <c r="B50" s="130"/>
      <c r="C50" s="478"/>
      <c r="D50" s="479"/>
      <c r="E50" s="480"/>
      <c r="F50" s="208"/>
      <c r="G50" s="208"/>
      <c r="H50" s="467"/>
      <c r="I50" s="208"/>
      <c r="J50" s="208"/>
      <c r="K50" s="208"/>
      <c r="L50" s="208"/>
      <c r="M50" s="208"/>
    </row>
    <row r="51" spans="1:13">
      <c r="A51" s="477"/>
      <c r="B51" s="208"/>
      <c r="C51" s="478"/>
      <c r="D51" s="130"/>
      <c r="E51" s="481"/>
      <c r="F51" s="208"/>
      <c r="G51" s="208"/>
      <c r="H51" s="467"/>
      <c r="I51" s="208"/>
      <c r="J51" s="208"/>
      <c r="K51" s="208"/>
      <c r="L51" s="208"/>
      <c r="M51" s="208"/>
    </row>
    <row r="52" spans="1:13" ht="15.75">
      <c r="A52" s="129" t="s">
        <v>330</v>
      </c>
      <c r="B52" s="130"/>
      <c r="C52" s="478"/>
      <c r="D52" s="479"/>
      <c r="E52" s="480"/>
      <c r="F52" s="208"/>
      <c r="G52" s="208"/>
      <c r="H52" s="467"/>
      <c r="I52" s="208"/>
      <c r="J52" s="208"/>
      <c r="K52" s="208"/>
      <c r="L52" s="208"/>
      <c r="M52" s="208"/>
    </row>
    <row r="53" spans="1:13">
      <c r="A53" s="477"/>
      <c r="B53" s="130"/>
      <c r="C53" s="478"/>
      <c r="D53" s="479"/>
      <c r="E53" s="480"/>
      <c r="F53" s="208"/>
      <c r="G53" s="208"/>
      <c r="H53" s="467"/>
      <c r="I53" s="208"/>
      <c r="J53" s="208"/>
      <c r="K53" s="208"/>
      <c r="L53" s="208"/>
      <c r="M53" s="208"/>
    </row>
    <row r="54" spans="1:13">
      <c r="A54" s="638" t="s">
        <v>331</v>
      </c>
      <c r="B54" s="638"/>
      <c r="C54" s="638"/>
      <c r="D54" s="638"/>
      <c r="E54" s="638"/>
      <c r="F54" s="638"/>
      <c r="G54" s="208"/>
      <c r="H54" s="467"/>
      <c r="I54" s="208"/>
      <c r="J54" s="208"/>
      <c r="K54" s="208"/>
      <c r="L54" s="208"/>
      <c r="M54" s="208"/>
    </row>
    <row r="55" spans="1:13">
      <c r="A55" s="638"/>
      <c r="B55" s="638"/>
      <c r="C55" s="638"/>
      <c r="D55" s="638"/>
      <c r="E55" s="638"/>
      <c r="F55" s="638"/>
      <c r="G55" s="208"/>
      <c r="H55" s="467"/>
      <c r="I55" s="208"/>
      <c r="J55" s="208"/>
      <c r="K55" s="208"/>
      <c r="L55" s="208"/>
      <c r="M55" s="208"/>
    </row>
    <row r="56" spans="1:13">
      <c r="A56" s="477"/>
      <c r="B56" s="130"/>
      <c r="C56" s="478"/>
      <c r="D56" s="479"/>
      <c r="E56" s="480"/>
      <c r="F56" s="208"/>
      <c r="G56" s="208"/>
      <c r="H56" s="467"/>
      <c r="I56" s="208"/>
      <c r="J56" s="208"/>
      <c r="K56" s="208"/>
      <c r="L56" s="208"/>
      <c r="M56" s="208"/>
    </row>
    <row r="57" spans="1:13">
      <c r="A57" s="477"/>
      <c r="B57" s="130"/>
      <c r="C57" s="478"/>
      <c r="D57" s="479"/>
      <c r="E57" s="480"/>
      <c r="F57" s="208"/>
      <c r="G57" s="208"/>
      <c r="H57" s="467"/>
      <c r="I57" s="208"/>
      <c r="J57" s="208"/>
      <c r="K57" s="208"/>
      <c r="L57" s="208"/>
      <c r="M57" s="208"/>
    </row>
    <row r="58" spans="1:13">
      <c r="A58" s="477"/>
      <c r="B58" s="130"/>
      <c r="C58" s="478"/>
      <c r="D58" s="479"/>
      <c r="E58" s="480"/>
      <c r="F58" s="208"/>
      <c r="G58" s="208"/>
      <c r="H58" s="467"/>
      <c r="I58" s="208"/>
      <c r="J58" s="208"/>
      <c r="K58" s="208"/>
      <c r="L58" s="208"/>
      <c r="M58" s="208"/>
    </row>
    <row r="59" spans="1:13">
      <c r="A59" s="477"/>
      <c r="B59" s="130"/>
      <c r="C59" s="478"/>
      <c r="D59" s="479"/>
      <c r="E59" s="480"/>
      <c r="F59" s="208"/>
      <c r="G59" s="208"/>
      <c r="H59" s="467"/>
      <c r="I59" s="208"/>
      <c r="J59" s="208"/>
      <c r="K59" s="208"/>
      <c r="L59" s="208"/>
      <c r="M59" s="208"/>
    </row>
    <row r="60" spans="1:13">
      <c r="A60" s="477"/>
      <c r="B60" s="130"/>
      <c r="C60" s="478"/>
      <c r="D60" s="479"/>
      <c r="E60" s="480"/>
      <c r="F60" s="208"/>
      <c r="G60" s="208"/>
      <c r="H60" s="467"/>
      <c r="I60" s="208"/>
      <c r="J60" s="208"/>
      <c r="K60" s="208"/>
      <c r="L60" s="208"/>
      <c r="M60" s="208"/>
    </row>
    <row r="61" spans="1:13">
      <c r="A61" s="477"/>
      <c r="B61" s="130"/>
      <c r="C61" s="478"/>
      <c r="D61" s="479"/>
      <c r="E61" s="480"/>
      <c r="F61" s="208"/>
      <c r="G61" s="208"/>
      <c r="H61" s="467"/>
      <c r="I61" s="208"/>
      <c r="J61" s="208"/>
      <c r="K61" s="208"/>
      <c r="L61" s="208"/>
      <c r="M61" s="208"/>
    </row>
    <row r="62" spans="1:13">
      <c r="A62" s="477"/>
      <c r="B62" s="130"/>
      <c r="C62" s="478"/>
      <c r="D62" s="479"/>
      <c r="E62" s="480"/>
      <c r="F62" s="208"/>
      <c r="G62" s="208"/>
      <c r="H62" s="467"/>
      <c r="I62" s="208"/>
      <c r="J62" s="208"/>
      <c r="K62" s="208"/>
      <c r="L62" s="208"/>
      <c r="M62" s="208"/>
    </row>
    <row r="63" spans="1:13">
      <c r="A63" s="477"/>
      <c r="B63" s="130"/>
      <c r="C63" s="478"/>
      <c r="D63" s="479"/>
      <c r="E63" s="480"/>
      <c r="F63" s="208"/>
      <c r="G63" s="208"/>
      <c r="H63" s="467"/>
      <c r="I63" s="208"/>
      <c r="J63" s="208"/>
      <c r="K63" s="208"/>
      <c r="L63" s="208"/>
      <c r="M63" s="208"/>
    </row>
    <row r="64" spans="1:13">
      <c r="A64" s="477"/>
      <c r="B64" s="130"/>
      <c r="C64" s="478"/>
      <c r="D64" s="479"/>
      <c r="E64" s="480"/>
      <c r="F64" s="208"/>
      <c r="G64" s="208"/>
      <c r="H64" s="467"/>
      <c r="I64" s="208"/>
      <c r="J64" s="208"/>
      <c r="K64" s="208"/>
      <c r="L64" s="208"/>
      <c r="M64" s="208"/>
    </row>
    <row r="65" spans="1:13">
      <c r="A65" s="477"/>
      <c r="B65" s="130"/>
      <c r="C65" s="478"/>
      <c r="D65" s="479"/>
      <c r="E65" s="480"/>
      <c r="F65" s="208"/>
      <c r="G65" s="208"/>
      <c r="H65" s="467"/>
      <c r="I65" s="208"/>
      <c r="J65" s="208"/>
      <c r="K65" s="208"/>
      <c r="L65" s="208"/>
      <c r="M65" s="208"/>
    </row>
    <row r="66" spans="1:13">
      <c r="A66" s="477"/>
      <c r="B66" s="130"/>
      <c r="C66" s="478"/>
      <c r="D66" s="479"/>
      <c r="E66" s="480"/>
      <c r="F66" s="208"/>
      <c r="G66" s="208"/>
      <c r="H66" s="467"/>
      <c r="I66" s="208"/>
      <c r="J66" s="208"/>
      <c r="K66" s="208"/>
      <c r="L66" s="208"/>
      <c r="M66" s="208"/>
    </row>
    <row r="67" spans="1:13">
      <c r="A67" s="477"/>
      <c r="B67" s="130"/>
      <c r="C67" s="478"/>
      <c r="D67" s="479"/>
      <c r="E67" s="480"/>
      <c r="F67" s="208"/>
      <c r="G67" s="208"/>
      <c r="H67" s="467"/>
      <c r="I67" s="208"/>
      <c r="J67" s="208"/>
      <c r="K67" s="208"/>
      <c r="L67" s="208"/>
      <c r="M67" s="208"/>
    </row>
    <row r="68" spans="1:13" ht="15.75" thickBot="1">
      <c r="A68" s="477"/>
      <c r="B68" s="130"/>
      <c r="C68" s="478"/>
      <c r="D68" s="479"/>
      <c r="E68" s="480"/>
      <c r="F68" s="208"/>
      <c r="G68" s="208"/>
      <c r="H68" s="467"/>
      <c r="I68" s="208"/>
      <c r="J68" s="208"/>
      <c r="K68" s="208"/>
      <c r="L68" s="208"/>
      <c r="M68" s="208"/>
    </row>
    <row r="69" spans="1:13">
      <c r="A69" s="477"/>
      <c r="B69" s="130"/>
      <c r="C69" s="478"/>
      <c r="D69" s="479"/>
      <c r="E69" s="480"/>
      <c r="F69" s="208"/>
      <c r="G69" s="208"/>
      <c r="H69" s="467"/>
      <c r="I69" s="208"/>
      <c r="J69" s="482" t="s">
        <v>332</v>
      </c>
      <c r="K69" s="483"/>
      <c r="L69" s="484"/>
      <c r="M69" s="208"/>
    </row>
    <row r="70" spans="1:13">
      <c r="A70" s="477"/>
      <c r="B70" s="130"/>
      <c r="C70" s="478"/>
      <c r="D70" s="479"/>
      <c r="E70" s="480"/>
      <c r="F70" s="208"/>
      <c r="G70" s="208"/>
      <c r="H70" s="467"/>
      <c r="I70" s="208"/>
      <c r="J70" s="485" t="s">
        <v>325</v>
      </c>
      <c r="K70" s="130" t="s">
        <v>324</v>
      </c>
      <c r="L70" s="486" t="s">
        <v>326</v>
      </c>
      <c r="M70" s="208"/>
    </row>
    <row r="71" spans="1:13" ht="15.75" thickBot="1">
      <c r="A71" s="477"/>
      <c r="B71" s="130"/>
      <c r="C71" s="478"/>
      <c r="D71" s="479"/>
      <c r="E71" s="480"/>
      <c r="F71" s="208"/>
      <c r="G71" s="208"/>
      <c r="H71" s="467"/>
      <c r="I71" s="208"/>
      <c r="J71" s="487">
        <f>(1/(C43*SQRT(2*PI())))*EXP((-0.5/C43^2)*((0)^2))</f>
        <v>1.2329251877333165</v>
      </c>
      <c r="K71" s="488">
        <f>(1/(D43*SQRT(2*PI())))*EXP((-0.5/D43^2)*((0)^2))</f>
        <v>1.8493877815999751</v>
      </c>
      <c r="L71" s="489">
        <f>(1/(E43*SQRT(2*PI())))*EXP((-0.5/E43^2)*((0)^2))</f>
        <v>3.6987755631999493</v>
      </c>
      <c r="M71" s="208"/>
    </row>
    <row r="72" spans="1:13">
      <c r="A72" s="477"/>
      <c r="B72" s="130"/>
      <c r="C72" s="478"/>
      <c r="D72" s="479"/>
      <c r="E72" s="480"/>
      <c r="F72" s="208"/>
      <c r="G72" s="208"/>
      <c r="H72" s="467"/>
      <c r="I72" s="208"/>
      <c r="J72" s="208"/>
      <c r="K72" s="208"/>
      <c r="L72" s="208"/>
      <c r="M72" s="208"/>
    </row>
    <row r="73" spans="1:13">
      <c r="A73" s="477"/>
      <c r="B73" s="130"/>
      <c r="C73" s="478"/>
      <c r="D73" s="479"/>
      <c r="E73" s="480"/>
      <c r="F73" s="208"/>
      <c r="G73" s="208"/>
      <c r="H73" s="467"/>
      <c r="I73" s="208"/>
      <c r="J73" s="208"/>
      <c r="K73" s="208"/>
      <c r="L73" s="208"/>
      <c r="M73" s="208"/>
    </row>
    <row r="74" spans="1:13">
      <c r="A74" s="477"/>
      <c r="B74" s="130"/>
      <c r="C74" s="478"/>
      <c r="D74" s="479"/>
      <c r="E74" s="480"/>
      <c r="F74" s="208"/>
      <c r="G74" s="208"/>
      <c r="H74" s="467"/>
      <c r="I74" s="208"/>
      <c r="J74" s="208"/>
      <c r="K74" s="208"/>
      <c r="L74" s="208"/>
      <c r="M74" s="208"/>
    </row>
    <row r="75" spans="1:13">
      <c r="A75" s="477"/>
      <c r="B75" s="130"/>
      <c r="C75" s="478"/>
      <c r="D75" s="479"/>
      <c r="E75" s="480"/>
      <c r="F75" s="208"/>
      <c r="G75" s="208"/>
      <c r="H75" s="467"/>
      <c r="I75" s="208"/>
      <c r="J75" s="208"/>
      <c r="K75" s="208"/>
      <c r="L75" s="208"/>
      <c r="M75" s="208"/>
    </row>
    <row r="76" spans="1:13">
      <c r="A76" s="477"/>
      <c r="B76" s="130"/>
      <c r="C76" s="478"/>
      <c r="D76" s="479"/>
      <c r="E76" s="480"/>
      <c r="F76" s="208"/>
      <c r="G76" s="208"/>
      <c r="H76" s="467"/>
      <c r="I76" s="208"/>
      <c r="J76" s="208"/>
      <c r="K76" s="208"/>
      <c r="L76" s="208"/>
      <c r="M76" s="208"/>
    </row>
    <row r="77" spans="1:13">
      <c r="A77" s="477"/>
      <c r="B77" s="130"/>
      <c r="C77" s="478"/>
      <c r="D77" s="479"/>
      <c r="E77" s="480"/>
      <c r="F77" s="208"/>
      <c r="G77" s="208"/>
      <c r="H77" s="467"/>
      <c r="I77" s="208"/>
      <c r="J77" s="208"/>
      <c r="K77" s="208"/>
      <c r="L77" s="208"/>
      <c r="M77" s="208"/>
    </row>
    <row r="78" spans="1:13">
      <c r="A78" s="477"/>
      <c r="B78" s="130"/>
      <c r="C78" s="478"/>
      <c r="D78" s="479"/>
      <c r="E78" s="480"/>
      <c r="F78" s="208"/>
      <c r="G78" s="208"/>
      <c r="H78" s="467"/>
      <c r="I78" s="208"/>
      <c r="J78" s="208"/>
      <c r="K78" s="208"/>
      <c r="L78" s="208"/>
      <c r="M78" s="208"/>
    </row>
    <row r="79" spans="1:13">
      <c r="A79" s="477"/>
      <c r="B79" s="130"/>
      <c r="C79" s="478"/>
      <c r="D79" s="479"/>
      <c r="E79" s="480"/>
      <c r="F79" s="208"/>
      <c r="G79" s="208"/>
      <c r="H79" s="467"/>
      <c r="I79" s="208"/>
      <c r="J79" s="208"/>
      <c r="K79" s="208"/>
      <c r="L79" s="208"/>
      <c r="M79" s="208"/>
    </row>
    <row r="80" spans="1:13" ht="15.75">
      <c r="A80" s="490" t="s">
        <v>333</v>
      </c>
      <c r="B80" s="145"/>
      <c r="C80" s="491"/>
      <c r="D80" s="492"/>
      <c r="E80" s="493"/>
      <c r="F80" s="205"/>
      <c r="G80" s="208"/>
      <c r="H80" s="494" t="s">
        <v>334</v>
      </c>
      <c r="I80" s="208"/>
      <c r="J80" s="208"/>
      <c r="K80" s="208"/>
      <c r="L80" s="208"/>
      <c r="M80" s="208"/>
    </row>
    <row r="81" spans="1:13" ht="15.75">
      <c r="A81" s="490"/>
      <c r="B81" s="145"/>
      <c r="C81" s="491"/>
      <c r="D81" s="492"/>
      <c r="E81" s="493"/>
      <c r="F81" s="205"/>
      <c r="G81" s="208"/>
      <c r="H81" s="495">
        <f>3/2</f>
        <v>1.5</v>
      </c>
      <c r="I81" s="208"/>
      <c r="J81" s="208"/>
      <c r="K81" s="208"/>
      <c r="L81" s="208"/>
      <c r="M81" s="208"/>
    </row>
    <row r="82" spans="1:13">
      <c r="A82" s="496" t="s">
        <v>335</v>
      </c>
      <c r="B82" s="145"/>
      <c r="C82" s="491"/>
      <c r="D82" s="492"/>
      <c r="E82" s="493"/>
      <c r="F82" s="205"/>
      <c r="G82" s="208"/>
      <c r="H82" s="467"/>
      <c r="I82" s="208"/>
      <c r="J82" s="208"/>
      <c r="K82" s="208"/>
      <c r="L82" s="208"/>
      <c r="M82" s="208"/>
    </row>
    <row r="83" spans="1:13" ht="15.75" thickBot="1">
      <c r="A83" s="497"/>
      <c r="B83" s="145"/>
      <c r="C83" s="498" t="str">
        <f>C38</f>
        <v>Stock H</v>
      </c>
      <c r="D83" s="499" t="str">
        <f t="shared" ref="D83:E83" si="1">D38</f>
        <v>Stock A</v>
      </c>
      <c r="E83" s="500" t="str">
        <f t="shared" si="1"/>
        <v>Stock L</v>
      </c>
      <c r="F83" s="205"/>
      <c r="G83" s="208"/>
      <c r="H83" s="467"/>
      <c r="I83" s="208"/>
      <c r="J83" s="208"/>
      <c r="K83" s="208"/>
      <c r="L83" s="208"/>
      <c r="M83" s="208"/>
    </row>
    <row r="84" spans="1:13" ht="27">
      <c r="A84" s="501" t="s">
        <v>336</v>
      </c>
      <c r="B84" s="502"/>
      <c r="C84" s="503">
        <f>CORREL(MARKET,STOCK_H)</f>
        <v>1.0000000000000002</v>
      </c>
      <c r="D84" s="504">
        <f>CORREL(MARKET,STOCK_A)</f>
        <v>1</v>
      </c>
      <c r="E84" s="505">
        <f>CORREL(MARKET,STOCK_L)</f>
        <v>1</v>
      </c>
      <c r="F84" s="145"/>
      <c r="G84" s="626" t="s">
        <v>337</v>
      </c>
      <c r="H84" s="626"/>
      <c r="I84" s="626"/>
      <c r="J84" s="626"/>
      <c r="K84" s="626"/>
      <c r="L84" s="626"/>
      <c r="M84" s="627"/>
    </row>
    <row r="85" spans="1:13" ht="27">
      <c r="A85" s="501" t="s">
        <v>338</v>
      </c>
      <c r="B85" s="502"/>
      <c r="C85" s="503">
        <f>COVAR(MARKET,STOCK_H)*FACTOR</f>
        <v>6.9800000000000001E-2</v>
      </c>
      <c r="D85" s="504">
        <f>COVAR(MARKET,STOCK_A)*FACTOR</f>
        <v>4.6533333333333329E-2</v>
      </c>
      <c r="E85" s="506">
        <f>COVAR(MARKET,STOCK_L)*FACTOR</f>
        <v>2.3266666666666665E-2</v>
      </c>
      <c r="F85" s="145"/>
      <c r="G85" s="626" t="s">
        <v>339</v>
      </c>
      <c r="H85" s="626"/>
      <c r="I85" s="626"/>
      <c r="J85" s="626"/>
      <c r="K85" s="626"/>
      <c r="L85" s="626"/>
      <c r="M85" s="627"/>
    </row>
    <row r="86" spans="1:13">
      <c r="A86" s="497"/>
      <c r="B86" s="145"/>
      <c r="C86" s="507"/>
      <c r="D86" s="508"/>
      <c r="E86" s="476"/>
      <c r="F86" s="145"/>
      <c r="G86" s="442"/>
      <c r="H86" s="442"/>
      <c r="I86" s="442"/>
      <c r="J86" s="442"/>
      <c r="K86" s="442"/>
      <c r="L86" s="442"/>
      <c r="M86" s="442"/>
    </row>
    <row r="87" spans="1:13">
      <c r="A87" s="497" t="s">
        <v>340</v>
      </c>
      <c r="B87" s="145"/>
      <c r="C87" s="507"/>
      <c r="D87" s="508"/>
      <c r="E87" s="476"/>
      <c r="F87" s="145"/>
      <c r="G87" s="442"/>
      <c r="H87" s="442"/>
      <c r="I87" s="442"/>
      <c r="J87" s="442"/>
      <c r="K87" s="442"/>
      <c r="L87" s="442"/>
      <c r="M87" s="442"/>
    </row>
    <row r="88" spans="1:13">
      <c r="A88" s="456" t="s">
        <v>341</v>
      </c>
      <c r="B88" s="509"/>
      <c r="C88" s="510">
        <f>C84*(C43/$B$43)</f>
        <v>1.5000000000000004</v>
      </c>
      <c r="D88" s="492">
        <f t="shared" ref="D88:E88" si="2">D84*(D43/$B$43)</f>
        <v>1</v>
      </c>
      <c r="E88" s="493">
        <f t="shared" si="2"/>
        <v>0.50000000000000011</v>
      </c>
      <c r="F88" s="145"/>
      <c r="G88" s="628"/>
      <c r="H88" s="628"/>
      <c r="I88" s="628"/>
      <c r="J88" s="628"/>
      <c r="K88" s="628"/>
      <c r="L88" s="628"/>
      <c r="M88" s="628"/>
    </row>
    <row r="89" spans="1:13">
      <c r="A89" s="456"/>
      <c r="B89" s="145"/>
      <c r="C89" s="491"/>
      <c r="D89" s="492"/>
      <c r="E89" s="511"/>
      <c r="F89" s="145"/>
      <c r="G89" s="442"/>
      <c r="H89" s="442"/>
      <c r="I89" s="442"/>
      <c r="J89" s="442"/>
      <c r="K89" s="442"/>
      <c r="L89" s="442"/>
      <c r="M89" s="442"/>
    </row>
    <row r="90" spans="1:13">
      <c r="A90" s="497" t="s">
        <v>342</v>
      </c>
      <c r="B90" s="145"/>
      <c r="C90" s="491"/>
      <c r="D90" s="492"/>
      <c r="E90" s="511"/>
      <c r="F90" s="145"/>
      <c r="G90" s="442"/>
      <c r="H90" s="442"/>
      <c r="I90" s="442"/>
      <c r="J90" s="442"/>
      <c r="K90" s="442"/>
      <c r="L90" s="442"/>
      <c r="M90" s="442"/>
    </row>
    <row r="91" spans="1:13" ht="15.75">
      <c r="A91" s="456" t="s">
        <v>343</v>
      </c>
      <c r="B91" s="493"/>
      <c r="C91" s="491">
        <f>C85/($B$43^2)</f>
        <v>1.5000000000000004</v>
      </c>
      <c r="D91" s="492">
        <f t="shared" ref="D91:E91" si="3">D85/($B$43^2)</f>
        <v>1.0000000000000002</v>
      </c>
      <c r="E91" s="493">
        <f t="shared" si="3"/>
        <v>0.50000000000000011</v>
      </c>
      <c r="F91" s="145"/>
      <c r="G91" s="512"/>
      <c r="H91" s="442"/>
      <c r="I91" s="442"/>
      <c r="J91" s="442"/>
      <c r="K91" s="442"/>
      <c r="L91" s="442"/>
      <c r="M91" s="442"/>
    </row>
    <row r="92" spans="1:13">
      <c r="A92" s="456"/>
      <c r="B92" s="145"/>
      <c r="C92" s="491"/>
      <c r="D92" s="492"/>
      <c r="E92" s="511"/>
      <c r="F92" s="145"/>
      <c r="G92" s="442"/>
      <c r="H92" s="442"/>
      <c r="I92" s="442"/>
      <c r="J92" s="442"/>
      <c r="K92" s="442"/>
      <c r="L92" s="442"/>
      <c r="M92" s="442"/>
    </row>
    <row r="93" spans="1:13">
      <c r="A93" s="497" t="s">
        <v>344</v>
      </c>
      <c r="B93" s="145"/>
      <c r="C93" s="491"/>
      <c r="D93" s="492"/>
      <c r="E93" s="511"/>
      <c r="F93" s="145"/>
      <c r="G93" s="442"/>
      <c r="H93" s="467"/>
      <c r="I93" s="442"/>
      <c r="J93" s="442"/>
      <c r="K93" s="442"/>
      <c r="L93" s="442"/>
      <c r="M93" s="442"/>
    </row>
    <row r="94" spans="1:13" ht="25.5">
      <c r="A94" s="497" t="s">
        <v>345</v>
      </c>
      <c r="B94" s="205"/>
      <c r="C94" s="491">
        <f>C85/($B$43^2)</f>
        <v>1.5000000000000004</v>
      </c>
      <c r="D94" s="492">
        <f t="shared" ref="D94:E94" si="4">D85/($B$43^2)</f>
        <v>1.0000000000000002</v>
      </c>
      <c r="E94" s="493">
        <f t="shared" si="4"/>
        <v>0.50000000000000011</v>
      </c>
      <c r="F94" s="205"/>
      <c r="G94" s="629" t="s">
        <v>346</v>
      </c>
      <c r="H94" s="629"/>
      <c r="I94" s="629"/>
      <c r="J94" s="629"/>
      <c r="K94" s="629"/>
      <c r="L94" s="629"/>
      <c r="M94" s="629"/>
    </row>
    <row r="95" spans="1:13">
      <c r="A95" s="513"/>
      <c r="B95" s="514"/>
      <c r="C95" s="514"/>
      <c r="D95" s="514"/>
      <c r="E95" s="514"/>
      <c r="F95" s="130"/>
      <c r="G95" s="130"/>
      <c r="H95" s="130"/>
      <c r="I95" s="130"/>
      <c r="J95" s="130"/>
      <c r="K95" s="130"/>
      <c r="L95" s="130"/>
      <c r="M95" s="130"/>
    </row>
    <row r="97" spans="1:12" ht="15.75">
      <c r="A97" s="515" t="s">
        <v>347</v>
      </c>
      <c r="B97" s="184"/>
      <c r="C97" s="184"/>
      <c r="D97" s="184"/>
      <c r="E97" s="184"/>
      <c r="F97" s="184"/>
      <c r="G97" s="185"/>
      <c r="H97" s="185"/>
      <c r="I97" s="185"/>
      <c r="J97" s="185"/>
      <c r="K97" s="185"/>
      <c r="L97" s="185"/>
    </row>
    <row r="98" spans="1:12" ht="15.75">
      <c r="A98" s="516"/>
      <c r="B98" s="517"/>
      <c r="C98" s="130"/>
      <c r="D98" s="130"/>
      <c r="E98" s="130"/>
      <c r="F98" s="130"/>
    </row>
    <row r="99" spans="1:12">
      <c r="A99" s="518" t="s">
        <v>348</v>
      </c>
      <c r="B99" s="517"/>
      <c r="C99" s="130"/>
      <c r="D99" s="130"/>
      <c r="E99" s="130"/>
      <c r="F99" s="130"/>
    </row>
    <row r="100" spans="1:12">
      <c r="A100" s="519"/>
      <c r="B100" s="517"/>
      <c r="C100" s="130"/>
      <c r="D100" s="130"/>
      <c r="E100" s="130"/>
      <c r="F100" s="130"/>
    </row>
    <row r="101" spans="1:12">
      <c r="A101" s="520" t="s">
        <v>349</v>
      </c>
      <c r="B101" s="517"/>
      <c r="C101" s="130"/>
      <c r="D101" s="130"/>
      <c r="E101" s="130"/>
      <c r="F101" s="130"/>
    </row>
    <row r="102" spans="1:12">
      <c r="A102" s="630" t="s">
        <v>350</v>
      </c>
      <c r="B102" s="630"/>
      <c r="C102" s="630"/>
      <c r="D102" s="630"/>
      <c r="E102" s="630"/>
      <c r="F102" s="630"/>
    </row>
    <row r="103" spans="1:12">
      <c r="A103" s="630"/>
      <c r="B103" s="630"/>
      <c r="C103" s="630"/>
      <c r="D103" s="630"/>
      <c r="E103" s="630"/>
      <c r="F103" s="630"/>
    </row>
    <row r="104" spans="1:12">
      <c r="A104" s="630"/>
      <c r="B104" s="630"/>
      <c r="C104" s="630"/>
      <c r="D104" s="630"/>
      <c r="E104" s="630"/>
      <c r="F104" s="630"/>
    </row>
    <row r="105" spans="1:12">
      <c r="A105" s="630"/>
      <c r="B105" s="630"/>
      <c r="C105" s="630"/>
      <c r="D105" s="630"/>
      <c r="E105" s="630"/>
      <c r="F105" s="630"/>
    </row>
    <row r="106" spans="1:12">
      <c r="A106" s="630"/>
      <c r="B106" s="630"/>
      <c r="C106" s="630"/>
      <c r="D106" s="630"/>
      <c r="E106" s="630"/>
      <c r="F106" s="630"/>
    </row>
    <row r="107" spans="1:12">
      <c r="A107" s="630"/>
      <c r="B107" s="630"/>
      <c r="C107" s="630"/>
      <c r="D107" s="630"/>
      <c r="E107" s="630"/>
      <c r="F107" s="630"/>
    </row>
    <row r="108" spans="1:12">
      <c r="A108" s="630"/>
      <c r="B108" s="630"/>
      <c r="C108" s="630"/>
      <c r="D108" s="630"/>
      <c r="E108" s="630"/>
      <c r="F108" s="630"/>
    </row>
    <row r="109" spans="1:12">
      <c r="A109" s="630"/>
      <c r="B109" s="630"/>
      <c r="C109" s="630"/>
      <c r="D109" s="630"/>
      <c r="E109" s="630"/>
      <c r="F109" s="630"/>
    </row>
    <row r="110" spans="1:12">
      <c r="A110" s="521"/>
      <c r="B110" s="521"/>
      <c r="C110" s="521"/>
      <c r="D110" s="521"/>
      <c r="E110" s="521"/>
      <c r="F110" s="521"/>
    </row>
    <row r="111" spans="1:12">
      <c r="A111" s="631" t="s">
        <v>351</v>
      </c>
      <c r="B111" s="631"/>
      <c r="C111" s="631"/>
      <c r="D111" s="631"/>
      <c r="E111" s="631"/>
      <c r="F111" s="631"/>
    </row>
    <row r="112" spans="1:12">
      <c r="A112" s="631"/>
      <c r="B112" s="631"/>
      <c r="C112" s="631"/>
      <c r="D112" s="631"/>
      <c r="E112" s="631"/>
      <c r="F112" s="631"/>
    </row>
    <row r="113" spans="1:6">
      <c r="A113" s="631"/>
      <c r="B113" s="631"/>
      <c r="C113" s="631"/>
      <c r="D113" s="631"/>
      <c r="E113" s="631"/>
      <c r="F113" s="631"/>
    </row>
    <row r="114" spans="1:6">
      <c r="A114" s="521"/>
      <c r="B114" s="521"/>
      <c r="C114" s="521"/>
      <c r="D114" s="521"/>
      <c r="E114" s="521"/>
      <c r="F114" s="521"/>
    </row>
    <row r="115" spans="1:6">
      <c r="A115" s="520" t="s">
        <v>352</v>
      </c>
      <c r="B115" s="517"/>
      <c r="C115" s="130"/>
      <c r="D115" s="130"/>
      <c r="E115" s="130"/>
      <c r="F115" s="130"/>
    </row>
    <row r="116" spans="1:6">
      <c r="A116" s="632" t="s">
        <v>353</v>
      </c>
      <c r="B116" s="632"/>
      <c r="C116" s="632"/>
      <c r="D116" s="632"/>
      <c r="E116" s="632"/>
      <c r="F116" s="632"/>
    </row>
    <row r="117" spans="1:6">
      <c r="A117" s="632"/>
      <c r="B117" s="632"/>
      <c r="C117" s="632"/>
      <c r="D117" s="632"/>
      <c r="E117" s="632"/>
      <c r="F117" s="632"/>
    </row>
    <row r="118" spans="1:6">
      <c r="A118" s="632"/>
      <c r="B118" s="632"/>
      <c r="C118" s="632"/>
      <c r="D118" s="632"/>
      <c r="E118" s="632"/>
      <c r="F118" s="632"/>
    </row>
    <row r="119" spans="1:6">
      <c r="A119" s="522"/>
      <c r="B119" s="522"/>
      <c r="C119" s="522"/>
      <c r="D119" s="522"/>
      <c r="E119" s="522"/>
      <c r="F119" s="522"/>
    </row>
    <row r="120" spans="1:6">
      <c r="A120" s="522"/>
      <c r="B120" s="522"/>
      <c r="C120" s="522"/>
      <c r="D120" s="522"/>
      <c r="E120" s="522"/>
      <c r="F120" s="522"/>
    </row>
    <row r="121" spans="1:6">
      <c r="A121" s="523"/>
      <c r="B121" s="523"/>
      <c r="C121" s="523"/>
      <c r="D121" s="523"/>
      <c r="E121" s="523"/>
      <c r="F121" s="130"/>
    </row>
    <row r="122" spans="1:6">
      <c r="A122" s="524" t="s">
        <v>354</v>
      </c>
      <c r="B122" s="525"/>
      <c r="C122" s="526"/>
      <c r="D122" s="526"/>
      <c r="E122" s="526"/>
      <c r="F122" s="130"/>
    </row>
    <row r="123" spans="1:6" ht="39.75" thickBot="1">
      <c r="A123" s="527" t="s">
        <v>355</v>
      </c>
      <c r="B123" s="528" t="s">
        <v>356</v>
      </c>
      <c r="C123" s="528" t="s">
        <v>357</v>
      </c>
      <c r="D123" s="529" t="s">
        <v>358</v>
      </c>
      <c r="E123" s="529" t="s">
        <v>359</v>
      </c>
      <c r="F123" s="530"/>
    </row>
    <row r="124" spans="1:6">
      <c r="A124" s="531">
        <v>39874</v>
      </c>
      <c r="B124" s="532">
        <v>797.87</v>
      </c>
      <c r="C124" s="533">
        <f>(B124-B125)/B125</f>
        <v>8.5404508291501674E-2</v>
      </c>
      <c r="D124" s="534">
        <v>10.11</v>
      </c>
      <c r="E124" s="535">
        <f>(D124-D125)/D125</f>
        <v>0.18801410105757929</v>
      </c>
      <c r="F124" s="536"/>
    </row>
    <row r="125" spans="1:6">
      <c r="A125" s="531">
        <v>39846</v>
      </c>
      <c r="B125" s="532">
        <v>735.09</v>
      </c>
      <c r="C125" s="533">
        <f t="shared" ref="C125:C171" si="5">(B125-B126)/B126</f>
        <v>-0.10993122487528451</v>
      </c>
      <c r="D125" s="534">
        <v>8.51</v>
      </c>
      <c r="E125" s="535">
        <f t="shared" ref="E125:E171" si="6">(D125-D126)/D126</f>
        <v>-0.27758913412563663</v>
      </c>
      <c r="F125" s="536"/>
    </row>
    <row r="126" spans="1:6">
      <c r="A126" s="531">
        <v>39815</v>
      </c>
      <c r="B126" s="532">
        <v>825.88</v>
      </c>
      <c r="C126" s="533">
        <f t="shared" si="5"/>
        <v>-8.5657348463880442E-2</v>
      </c>
      <c r="D126" s="534">
        <v>11.78</v>
      </c>
      <c r="E126" s="535">
        <f t="shared" si="6"/>
        <v>-0.25158831003811949</v>
      </c>
      <c r="F126" s="536"/>
    </row>
    <row r="127" spans="1:6">
      <c r="A127" s="531">
        <v>39783</v>
      </c>
      <c r="B127" s="532">
        <v>903.25</v>
      </c>
      <c r="C127" s="533">
        <f t="shared" si="5"/>
        <v>7.8215656520574748E-3</v>
      </c>
      <c r="D127" s="534">
        <v>15.74</v>
      </c>
      <c r="E127" s="535">
        <f t="shared" si="6"/>
        <v>-3.8485033598045247E-2</v>
      </c>
      <c r="F127" s="536"/>
    </row>
    <row r="128" spans="1:6">
      <c r="A128" s="531">
        <v>39755</v>
      </c>
      <c r="B128" s="532">
        <v>896.24</v>
      </c>
      <c r="C128" s="533">
        <f t="shared" si="5"/>
        <v>-7.484903225806451E-2</v>
      </c>
      <c r="D128" s="534">
        <v>16.37</v>
      </c>
      <c r="E128" s="535">
        <f t="shared" si="6"/>
        <v>-0.11989247311827958</v>
      </c>
      <c r="F128" s="536"/>
    </row>
    <row r="129" spans="1:6">
      <c r="A129" s="531">
        <v>39722</v>
      </c>
      <c r="B129" s="532">
        <v>968.75</v>
      </c>
      <c r="C129" s="533">
        <f t="shared" si="5"/>
        <v>-0.1682693133231451</v>
      </c>
      <c r="D129" s="534">
        <v>18.600000000000001</v>
      </c>
      <c r="E129" s="535">
        <f t="shared" si="6"/>
        <v>-0.23456790123456786</v>
      </c>
      <c r="F129" s="536"/>
    </row>
    <row r="130" spans="1:6">
      <c r="A130" s="531">
        <v>39693</v>
      </c>
      <c r="B130" s="532">
        <v>1164.74</v>
      </c>
      <c r="C130" s="533">
        <f t="shared" si="5"/>
        <v>-9.2054286226545934E-2</v>
      </c>
      <c r="D130" s="534">
        <v>24.3</v>
      </c>
      <c r="E130" s="535">
        <f t="shared" si="6"/>
        <v>-8.0590238365493727E-2</v>
      </c>
      <c r="F130" s="536"/>
    </row>
    <row r="131" spans="1:6">
      <c r="A131" s="531">
        <v>39661</v>
      </c>
      <c r="B131" s="532">
        <v>1282.83</v>
      </c>
      <c r="C131" s="533">
        <f t="shared" si="5"/>
        <v>1.2190503242910426E-2</v>
      </c>
      <c r="D131" s="534">
        <v>26.43</v>
      </c>
      <c r="E131" s="535">
        <f t="shared" si="6"/>
        <v>-6.7643742953776669E-3</v>
      </c>
      <c r="F131" s="536"/>
    </row>
    <row r="132" spans="1:6">
      <c r="A132" s="531">
        <v>39630</v>
      </c>
      <c r="B132" s="532">
        <v>1267.3800000000001</v>
      </c>
      <c r="C132" s="533">
        <f t="shared" si="5"/>
        <v>-9.8593749999999151E-3</v>
      </c>
      <c r="D132" s="534">
        <v>26.61</v>
      </c>
      <c r="E132" s="535">
        <f t="shared" si="6"/>
        <v>6.0159362549800713E-2</v>
      </c>
      <c r="F132" s="536"/>
    </row>
    <row r="133" spans="1:6">
      <c r="A133" s="531">
        <v>39601</v>
      </c>
      <c r="B133" s="532">
        <v>1280</v>
      </c>
      <c r="C133" s="533">
        <f t="shared" si="5"/>
        <v>-8.5962381639269406E-2</v>
      </c>
      <c r="D133" s="534">
        <v>25.1</v>
      </c>
      <c r="E133" s="535">
        <f t="shared" si="6"/>
        <v>-0.12145607280364014</v>
      </c>
      <c r="F133" s="536"/>
    </row>
    <row r="134" spans="1:6">
      <c r="A134" s="531">
        <v>39569</v>
      </c>
      <c r="B134" s="532">
        <v>1400.38</v>
      </c>
      <c r="C134" s="533">
        <f t="shared" si="5"/>
        <v>1.067415324879668E-2</v>
      </c>
      <c r="D134" s="534">
        <v>28.57</v>
      </c>
      <c r="E134" s="535">
        <f t="shared" si="6"/>
        <v>-6.0815253122945473E-2</v>
      </c>
      <c r="F134" s="536"/>
    </row>
    <row r="135" spans="1:6">
      <c r="A135" s="531">
        <v>39539</v>
      </c>
      <c r="B135" s="532">
        <v>1385.59</v>
      </c>
      <c r="C135" s="533">
        <f t="shared" si="5"/>
        <v>4.7546684811370581E-2</v>
      </c>
      <c r="D135" s="534">
        <v>30.42</v>
      </c>
      <c r="E135" s="535">
        <f t="shared" si="6"/>
        <v>-0.11646819634040076</v>
      </c>
      <c r="F135" s="536"/>
    </row>
    <row r="136" spans="1:6">
      <c r="A136" s="531">
        <v>39510</v>
      </c>
      <c r="B136" s="532">
        <v>1322.7</v>
      </c>
      <c r="C136" s="533">
        <f t="shared" si="5"/>
        <v>-5.9595830546433368E-3</v>
      </c>
      <c r="D136" s="534">
        <v>34.43</v>
      </c>
      <c r="E136" s="535">
        <f t="shared" si="6"/>
        <v>0.11676938047356476</v>
      </c>
      <c r="F136" s="536"/>
    </row>
    <row r="137" spans="1:6">
      <c r="A137" s="531">
        <v>39479</v>
      </c>
      <c r="B137" s="532">
        <v>1330.63</v>
      </c>
      <c r="C137" s="533">
        <f t="shared" si="5"/>
        <v>-3.4761162090602336E-2</v>
      </c>
      <c r="D137" s="534">
        <v>30.83</v>
      </c>
      <c r="E137" s="535">
        <f t="shared" si="6"/>
        <v>-5.4004295796256672E-2</v>
      </c>
      <c r="F137" s="536"/>
    </row>
    <row r="138" spans="1:6">
      <c r="A138" s="531">
        <v>39449</v>
      </c>
      <c r="B138" s="532">
        <v>1378.55</v>
      </c>
      <c r="C138" s="533">
        <f t="shared" si="5"/>
        <v>-6.1163474897164151E-2</v>
      </c>
      <c r="D138" s="534">
        <v>32.590000000000003</v>
      </c>
      <c r="E138" s="535">
        <f t="shared" si="6"/>
        <v>-4.6239391278899568E-2</v>
      </c>
      <c r="F138" s="536"/>
    </row>
    <row r="139" spans="1:6">
      <c r="A139" s="531">
        <v>39419</v>
      </c>
      <c r="B139" s="532">
        <v>1468.36</v>
      </c>
      <c r="C139" s="533">
        <f t="shared" si="5"/>
        <v>-8.6284888666839053E-3</v>
      </c>
      <c r="D139" s="534">
        <v>34.17</v>
      </c>
      <c r="E139" s="535">
        <f t="shared" si="6"/>
        <v>-2.3714285714285667E-2</v>
      </c>
      <c r="F139" s="536"/>
    </row>
    <row r="140" spans="1:6">
      <c r="A140" s="531">
        <v>39387</v>
      </c>
      <c r="B140" s="532">
        <v>1481.14</v>
      </c>
      <c r="C140" s="533">
        <f t="shared" si="5"/>
        <v>-4.4043423821141361E-2</v>
      </c>
      <c r="D140" s="534">
        <v>35</v>
      </c>
      <c r="E140" s="535">
        <f t="shared" si="6"/>
        <v>-6.9643806485911688E-2</v>
      </c>
      <c r="F140" s="536"/>
    </row>
    <row r="141" spans="1:6">
      <c r="A141" s="531">
        <v>39356</v>
      </c>
      <c r="B141" s="532">
        <v>1549.38</v>
      </c>
      <c r="C141" s="533">
        <f t="shared" si="5"/>
        <v>1.4822335025380782E-2</v>
      </c>
      <c r="D141" s="534">
        <v>37.619999999999997</v>
      </c>
      <c r="E141" s="535">
        <f t="shared" si="6"/>
        <v>-5.8139534883722499E-3</v>
      </c>
      <c r="F141" s="536"/>
    </row>
    <row r="142" spans="1:6">
      <c r="A142" s="531">
        <v>39329</v>
      </c>
      <c r="B142" s="532">
        <v>1526.75</v>
      </c>
      <c r="C142" s="533">
        <f t="shared" si="5"/>
        <v>3.5794001316155462E-2</v>
      </c>
      <c r="D142" s="534">
        <v>37.840000000000003</v>
      </c>
      <c r="E142" s="535">
        <f t="shared" si="6"/>
        <v>7.2258430150184308E-2</v>
      </c>
      <c r="F142" s="536"/>
    </row>
    <row r="143" spans="1:6">
      <c r="A143" s="531">
        <v>39295</v>
      </c>
      <c r="B143" s="532">
        <v>1473.99</v>
      </c>
      <c r="C143" s="533">
        <f t="shared" si="5"/>
        <v>1.2863592323074088E-2</v>
      </c>
      <c r="D143" s="534">
        <v>35.29</v>
      </c>
      <c r="E143" s="535">
        <f t="shared" si="6"/>
        <v>2.8417163967036497E-3</v>
      </c>
      <c r="F143" s="536"/>
    </row>
    <row r="144" spans="1:6">
      <c r="A144" s="531">
        <v>39265</v>
      </c>
      <c r="B144" s="532">
        <v>1455.27</v>
      </c>
      <c r="C144" s="533">
        <f t="shared" si="5"/>
        <v>-3.1981907074200906E-2</v>
      </c>
      <c r="D144" s="534">
        <v>35.19</v>
      </c>
      <c r="E144" s="535">
        <f t="shared" si="6"/>
        <v>1.2661870503597057E-2</v>
      </c>
      <c r="F144" s="536"/>
    </row>
    <row r="145" spans="1:6">
      <c r="A145" s="531">
        <v>39234</v>
      </c>
      <c r="B145" s="532">
        <v>1503.35</v>
      </c>
      <c r="C145" s="533">
        <f t="shared" si="5"/>
        <v>-1.7816309730697352E-2</v>
      </c>
      <c r="D145" s="534">
        <v>34.75</v>
      </c>
      <c r="E145" s="535">
        <f t="shared" si="6"/>
        <v>2.5981694715087177E-2</v>
      </c>
      <c r="F145" s="536"/>
    </row>
    <row r="146" spans="1:6">
      <c r="A146" s="531">
        <v>39203</v>
      </c>
      <c r="B146" s="532">
        <v>1530.62</v>
      </c>
      <c r="C146" s="533">
        <f t="shared" si="5"/>
        <v>3.2549228600147063E-2</v>
      </c>
      <c r="D146" s="534">
        <v>33.869999999999997</v>
      </c>
      <c r="E146" s="535">
        <f t="shared" si="6"/>
        <v>1.9566526189042702E-2</v>
      </c>
      <c r="F146" s="536"/>
    </row>
    <row r="147" spans="1:6">
      <c r="A147" s="531">
        <v>39174</v>
      </c>
      <c r="B147" s="532">
        <v>1482.37</v>
      </c>
      <c r="C147" s="533">
        <f t="shared" si="5"/>
        <v>4.3290683107413817E-2</v>
      </c>
      <c r="D147" s="534">
        <v>33.22</v>
      </c>
      <c r="E147" s="535">
        <f t="shared" si="6"/>
        <v>4.2359585817383048E-2</v>
      </c>
      <c r="F147" s="536"/>
    </row>
    <row r="148" spans="1:6">
      <c r="A148" s="531">
        <v>39142</v>
      </c>
      <c r="B148" s="532">
        <v>1420.86</v>
      </c>
      <c r="C148" s="533">
        <f t="shared" si="5"/>
        <v>9.9799547916577559E-3</v>
      </c>
      <c r="D148" s="534">
        <v>31.87</v>
      </c>
      <c r="E148" s="535">
        <f t="shared" si="6"/>
        <v>1.2710517953606677E-2</v>
      </c>
      <c r="F148" s="536"/>
    </row>
    <row r="149" spans="1:6">
      <c r="A149" s="531">
        <v>39114</v>
      </c>
      <c r="B149" s="532">
        <v>1406.82</v>
      </c>
      <c r="C149" s="533">
        <f t="shared" si="5"/>
        <v>-2.1846145288686222E-2</v>
      </c>
      <c r="D149" s="534">
        <v>31.47</v>
      </c>
      <c r="E149" s="535">
        <f t="shared" si="6"/>
        <v>-2.38833746898264E-2</v>
      </c>
      <c r="F149" s="536"/>
    </row>
    <row r="150" spans="1:6">
      <c r="A150" s="531">
        <v>39085</v>
      </c>
      <c r="B150" s="532">
        <v>1438.24</v>
      </c>
      <c r="C150" s="533">
        <f t="shared" si="5"/>
        <v>1.4059084819854795E-2</v>
      </c>
      <c r="D150" s="534">
        <v>32.24</v>
      </c>
      <c r="E150" s="535">
        <f t="shared" si="6"/>
        <v>-3.1249999999999972E-2</v>
      </c>
      <c r="F150" s="536"/>
    </row>
    <row r="151" spans="1:6">
      <c r="A151" s="531">
        <v>39052</v>
      </c>
      <c r="B151" s="532">
        <v>1418.3</v>
      </c>
      <c r="C151" s="533">
        <f t="shared" si="5"/>
        <v>1.2615751483260993E-2</v>
      </c>
      <c r="D151" s="534">
        <v>33.28</v>
      </c>
      <c r="E151" s="535">
        <f t="shared" si="6"/>
        <v>6.2579821200510879E-2</v>
      </c>
      <c r="F151" s="536"/>
    </row>
    <row r="152" spans="1:6">
      <c r="A152" s="531">
        <v>39022</v>
      </c>
      <c r="B152" s="532">
        <v>1400.63</v>
      </c>
      <c r="C152" s="533">
        <f t="shared" si="5"/>
        <v>1.6466609576614406E-2</v>
      </c>
      <c r="D152" s="534">
        <v>31.32</v>
      </c>
      <c r="E152" s="535">
        <f t="shared" si="6"/>
        <v>4.8123195380172781E-3</v>
      </c>
      <c r="F152" s="536"/>
    </row>
    <row r="153" spans="1:6">
      <c r="A153" s="531">
        <v>38992</v>
      </c>
      <c r="B153" s="532">
        <v>1377.94</v>
      </c>
      <c r="C153" s="533">
        <f t="shared" si="5"/>
        <v>3.1508028596025112E-2</v>
      </c>
      <c r="D153" s="534">
        <v>31.17</v>
      </c>
      <c r="E153" s="535">
        <f t="shared" si="6"/>
        <v>-5.4243777919590983E-3</v>
      </c>
      <c r="F153" s="536"/>
    </row>
    <row r="154" spans="1:6">
      <c r="A154" s="531">
        <v>38961</v>
      </c>
      <c r="B154" s="532">
        <v>1335.85</v>
      </c>
      <c r="C154" s="533">
        <f t="shared" si="5"/>
        <v>2.4566274485741876E-2</v>
      </c>
      <c r="D154" s="534">
        <v>31.34</v>
      </c>
      <c r="E154" s="535">
        <f t="shared" si="6"/>
        <v>4.3970686209193879E-2</v>
      </c>
      <c r="F154" s="536"/>
    </row>
    <row r="155" spans="1:6">
      <c r="A155" s="531">
        <v>38930</v>
      </c>
      <c r="B155" s="532">
        <v>1303.82</v>
      </c>
      <c r="C155" s="533">
        <f t="shared" si="5"/>
        <v>2.1274262528785937E-2</v>
      </c>
      <c r="D155" s="534">
        <v>30.02</v>
      </c>
      <c r="E155" s="535">
        <f t="shared" si="6"/>
        <v>4.1999305796598434E-2</v>
      </c>
      <c r="F155" s="536"/>
    </row>
    <row r="156" spans="1:6">
      <c r="A156" s="531">
        <v>38901</v>
      </c>
      <c r="B156" s="532">
        <v>1276.6600000000001</v>
      </c>
      <c r="C156" s="533">
        <f t="shared" si="5"/>
        <v>5.0858132577547123E-3</v>
      </c>
      <c r="D156" s="534">
        <v>28.81</v>
      </c>
      <c r="E156" s="535">
        <f t="shared" si="6"/>
        <v>-8.2616179001721857E-3</v>
      </c>
      <c r="F156" s="536"/>
    </row>
    <row r="157" spans="1:6">
      <c r="A157" s="531">
        <v>38869</v>
      </c>
      <c r="B157" s="532">
        <v>1270.2</v>
      </c>
      <c r="C157" s="533">
        <f t="shared" si="5"/>
        <v>8.6608035651117117E-5</v>
      </c>
      <c r="D157" s="534">
        <v>29.05</v>
      </c>
      <c r="E157" s="535">
        <f t="shared" si="6"/>
        <v>-3.0697364030697304E-2</v>
      </c>
      <c r="F157" s="536"/>
    </row>
    <row r="158" spans="1:6">
      <c r="A158" s="531">
        <v>38838</v>
      </c>
      <c r="B158" s="532">
        <v>1270.0899999999999</v>
      </c>
      <c r="C158" s="533">
        <f t="shared" si="5"/>
        <v>-3.0916901290238885E-2</v>
      </c>
      <c r="D158" s="534">
        <v>29.97</v>
      </c>
      <c r="E158" s="535">
        <f t="shared" si="6"/>
        <v>-9.5836087243887213E-3</v>
      </c>
      <c r="F158" s="536"/>
    </row>
    <row r="159" spans="1:6">
      <c r="A159" s="531">
        <v>38810</v>
      </c>
      <c r="B159" s="532">
        <v>1310.6099999999999</v>
      </c>
      <c r="C159" s="533">
        <f t="shared" si="5"/>
        <v>1.2155660413786721E-2</v>
      </c>
      <c r="D159" s="534">
        <v>30.26</v>
      </c>
      <c r="E159" s="535">
        <f t="shared" si="6"/>
        <v>-5.5865921787708892E-3</v>
      </c>
      <c r="F159" s="536"/>
    </row>
    <row r="160" spans="1:6">
      <c r="A160" s="531">
        <v>38777</v>
      </c>
      <c r="B160" s="532">
        <v>1294.8699999999999</v>
      </c>
      <c r="C160" s="533">
        <f t="shared" si="5"/>
        <v>1.1095841206877554E-2</v>
      </c>
      <c r="D160" s="534">
        <v>30.43</v>
      </c>
      <c r="E160" s="535">
        <f t="shared" si="6"/>
        <v>5.8066759388038874E-2</v>
      </c>
      <c r="F160" s="536"/>
    </row>
    <row r="161" spans="1:15">
      <c r="A161" s="531">
        <v>38749</v>
      </c>
      <c r="B161" s="532">
        <v>1280.6600000000001</v>
      </c>
      <c r="C161" s="533">
        <f t="shared" si="5"/>
        <v>4.5309668145752973E-4</v>
      </c>
      <c r="D161" s="534">
        <v>28.76</v>
      </c>
      <c r="E161" s="535">
        <f t="shared" si="6"/>
        <v>1.1251758087201134E-2</v>
      </c>
      <c r="F161" s="536"/>
    </row>
    <row r="162" spans="1:15">
      <c r="A162" s="531">
        <v>38720</v>
      </c>
      <c r="B162" s="532">
        <v>1280.08</v>
      </c>
      <c r="C162" s="533">
        <f t="shared" si="5"/>
        <v>2.5466838635252998E-2</v>
      </c>
      <c r="D162" s="534">
        <v>28.44</v>
      </c>
      <c r="E162" s="535">
        <f t="shared" si="6"/>
        <v>-6.5703022339027597E-2</v>
      </c>
      <c r="F162" s="536"/>
    </row>
    <row r="163" spans="1:15">
      <c r="A163" s="531">
        <v>38687</v>
      </c>
      <c r="B163" s="532">
        <v>1248.29</v>
      </c>
      <c r="C163" s="533">
        <f t="shared" si="5"/>
        <v>-9.5239619681791992E-4</v>
      </c>
      <c r="D163" s="534">
        <v>30.44</v>
      </c>
      <c r="E163" s="535">
        <f t="shared" si="6"/>
        <v>-1.168831168831167E-2</v>
      </c>
      <c r="F163" s="536"/>
    </row>
    <row r="164" spans="1:15">
      <c r="A164" s="531">
        <v>38657</v>
      </c>
      <c r="B164" s="532">
        <v>1249.48</v>
      </c>
      <c r="C164" s="533">
        <f t="shared" si="5"/>
        <v>3.5186121076047447E-2</v>
      </c>
      <c r="D164" s="534">
        <v>30.8</v>
      </c>
      <c r="E164" s="535">
        <f t="shared" si="6"/>
        <v>5.3351573187414583E-2</v>
      </c>
      <c r="F164" s="536"/>
    </row>
    <row r="165" spans="1:15">
      <c r="A165" s="531">
        <v>38628</v>
      </c>
      <c r="B165" s="532">
        <v>1207.01</v>
      </c>
      <c r="C165" s="533">
        <f t="shared" si="5"/>
        <v>-1.774074104214643E-2</v>
      </c>
      <c r="D165" s="534">
        <v>29.24</v>
      </c>
      <c r="E165" s="535">
        <f t="shared" si="6"/>
        <v>7.2338959696864377E-3</v>
      </c>
      <c r="F165" s="536"/>
    </row>
    <row r="166" spans="1:15">
      <c r="A166" s="531">
        <v>38596</v>
      </c>
      <c r="B166" s="532">
        <v>1228.81</v>
      </c>
      <c r="C166" s="533">
        <f t="shared" si="5"/>
        <v>6.9489400408086488E-3</v>
      </c>
      <c r="D166" s="534">
        <v>29.03</v>
      </c>
      <c r="E166" s="535">
        <f t="shared" si="6"/>
        <v>8.3362278568948241E-3</v>
      </c>
      <c r="F166" s="536"/>
    </row>
    <row r="167" spans="1:15">
      <c r="A167" s="531">
        <v>38565</v>
      </c>
      <c r="B167" s="532">
        <v>1220.33</v>
      </c>
      <c r="C167" s="533">
        <f t="shared" si="5"/>
        <v>-1.1222025960556917E-2</v>
      </c>
      <c r="D167" s="534">
        <v>28.79</v>
      </c>
      <c r="E167" s="535">
        <f t="shared" si="6"/>
        <v>-2.5719120135363843E-2</v>
      </c>
      <c r="F167" s="536"/>
    </row>
    <row r="168" spans="1:15">
      <c r="A168" s="531">
        <v>38534</v>
      </c>
      <c r="B168" s="532">
        <v>1234.18</v>
      </c>
      <c r="C168" s="533">
        <f t="shared" si="5"/>
        <v>3.5968203604375061E-2</v>
      </c>
      <c r="D168" s="534">
        <v>29.55</v>
      </c>
      <c r="E168" s="535">
        <f t="shared" si="6"/>
        <v>-4.3800539083557613E-3</v>
      </c>
      <c r="F168" s="536"/>
    </row>
    <row r="169" spans="1:15" ht="15.75" thickBot="1">
      <c r="A169" s="531">
        <v>38504</v>
      </c>
      <c r="B169" s="532">
        <v>1191.33</v>
      </c>
      <c r="C169" s="533">
        <f t="shared" si="5"/>
        <v>-1.4267729752419031E-4</v>
      </c>
      <c r="D169" s="534">
        <v>29.68</v>
      </c>
      <c r="E169" s="535">
        <f t="shared" si="6"/>
        <v>-4.4122383252818066E-2</v>
      </c>
      <c r="F169" s="536"/>
    </row>
    <row r="170" spans="1:15">
      <c r="A170" s="531">
        <v>38474</v>
      </c>
      <c r="B170" s="532">
        <v>1191.5</v>
      </c>
      <c r="C170" s="533">
        <f t="shared" si="5"/>
        <v>2.9952024895189604E-2</v>
      </c>
      <c r="D170" s="534">
        <v>31.05</v>
      </c>
      <c r="E170" s="535">
        <f t="shared" si="6"/>
        <v>7.4626865671641928E-3</v>
      </c>
      <c r="F170" s="536"/>
      <c r="G170" s="537" t="s">
        <v>360</v>
      </c>
      <c r="H170" s="538"/>
      <c r="I170" s="539"/>
    </row>
    <row r="171" spans="1:15" ht="15.75" thickBot="1">
      <c r="A171" s="531">
        <v>38443</v>
      </c>
      <c r="B171" s="532">
        <v>1156.8499999999999</v>
      </c>
      <c r="C171" s="533">
        <f t="shared" si="5"/>
        <v>-2.0108589772910163E-2</v>
      </c>
      <c r="D171" s="534">
        <v>30.82</v>
      </c>
      <c r="E171" s="535">
        <f t="shared" si="6"/>
        <v>3.9087947882736479E-3</v>
      </c>
      <c r="F171" s="536"/>
      <c r="G171" s="540" t="s">
        <v>361</v>
      </c>
      <c r="H171" s="541"/>
      <c r="I171" s="542"/>
    </row>
    <row r="172" spans="1:15">
      <c r="A172" s="531">
        <v>38413</v>
      </c>
      <c r="B172" s="532">
        <v>1180.5899999999999</v>
      </c>
      <c r="C172" s="543"/>
      <c r="D172" s="534">
        <v>30.7</v>
      </c>
      <c r="E172" s="544"/>
      <c r="F172" s="536"/>
    </row>
    <row r="173" spans="1:15">
      <c r="A173" s="545"/>
      <c r="B173" s="546"/>
      <c r="C173" s="547"/>
      <c r="D173" s="548"/>
      <c r="E173" s="549"/>
      <c r="F173" s="550"/>
    </row>
    <row r="174" spans="1:15" ht="15.75" thickBot="1">
      <c r="A174" s="551" t="s">
        <v>362</v>
      </c>
      <c r="B174" s="546"/>
      <c r="C174" s="547"/>
      <c r="D174" s="548"/>
      <c r="E174" s="549"/>
      <c r="F174" s="550"/>
    </row>
    <row r="175" spans="1:15">
      <c r="A175" s="552" t="s">
        <v>363</v>
      </c>
      <c r="B175" s="205"/>
      <c r="C175" s="582">
        <f>AVERAGE(MARKET_SP500)*12</f>
        <v>-8.4510104605563297E-2</v>
      </c>
      <c r="D175" s="553"/>
      <c r="E175" s="586">
        <f>AVERAGE(STOCK_GE)*12</f>
        <v>-0.22940888301259499</v>
      </c>
      <c r="F175" s="554"/>
      <c r="G175" s="555" t="s">
        <v>364</v>
      </c>
      <c r="H175" s="556"/>
      <c r="I175" s="556"/>
      <c r="J175" s="556"/>
      <c r="K175" s="556"/>
      <c r="L175" s="556"/>
      <c r="M175" s="556"/>
      <c r="N175" s="556"/>
      <c r="O175" s="557"/>
    </row>
    <row r="176" spans="1:15" ht="15.75" thickBot="1">
      <c r="A176" s="552" t="s">
        <v>365</v>
      </c>
      <c r="B176" s="205"/>
      <c r="C176" s="583">
        <f>STDEV(MARKET_SP500)*SQRT(12)</f>
        <v>0.15915859010131483</v>
      </c>
      <c r="D176" s="553"/>
      <c r="E176" s="587">
        <f>STDEV(STOCK_GE)*SQRT(12)</f>
        <v>0.28926129407362472</v>
      </c>
      <c r="F176" s="554"/>
      <c r="G176" s="558"/>
      <c r="H176" s="559"/>
      <c r="I176" s="559"/>
      <c r="J176" s="559"/>
      <c r="K176" s="559"/>
      <c r="L176" s="559"/>
      <c r="M176" s="559"/>
      <c r="N176" s="559"/>
      <c r="O176" s="560"/>
    </row>
    <row r="177" spans="1:15">
      <c r="A177" s="205" t="s">
        <v>366</v>
      </c>
      <c r="B177" s="205"/>
      <c r="C177" s="584">
        <f>MIN(MARKET_SP500)</f>
        <v>-0.1682693133231451</v>
      </c>
      <c r="D177" s="553"/>
      <c r="E177" s="588">
        <f>MIN(STOCK_GE)</f>
        <v>-0.27758913412563663</v>
      </c>
      <c r="F177" s="561"/>
      <c r="G177" s="562" t="s">
        <v>367</v>
      </c>
      <c r="H177" s="563"/>
      <c r="I177" s="559"/>
      <c r="J177" s="559"/>
      <c r="K177" s="559"/>
      <c r="L177" s="559"/>
      <c r="M177" s="559"/>
      <c r="N177" s="559"/>
      <c r="O177" s="560"/>
    </row>
    <row r="178" spans="1:15">
      <c r="A178" s="205" t="s">
        <v>368</v>
      </c>
      <c r="B178" s="205"/>
      <c r="C178" s="585">
        <f>MAX(MARKET_SP500)</f>
        <v>8.5404508291501674E-2</v>
      </c>
      <c r="D178" s="553"/>
      <c r="E178" s="588">
        <f>MAX(STOCK_GE)</f>
        <v>0.18801410105757929</v>
      </c>
      <c r="F178" s="561"/>
      <c r="G178" s="564" t="s">
        <v>369</v>
      </c>
      <c r="H178" s="565">
        <v>0.75624087399787343</v>
      </c>
      <c r="I178" s="559"/>
      <c r="J178" s="559"/>
      <c r="K178" s="559"/>
      <c r="L178" s="559"/>
      <c r="M178" s="559"/>
      <c r="N178" s="559"/>
      <c r="O178" s="560"/>
    </row>
    <row r="179" spans="1:15">
      <c r="A179" s="566" t="s">
        <v>370</v>
      </c>
      <c r="B179" s="205"/>
      <c r="C179" s="205"/>
      <c r="D179" s="553"/>
      <c r="E179" s="589">
        <f>CORREL(MARKET_SP500,STOCK_GE)</f>
        <v>0.75624087399787299</v>
      </c>
      <c r="F179" s="567"/>
      <c r="G179" s="564" t="s">
        <v>371</v>
      </c>
      <c r="H179" s="644">
        <v>0.5719002595050674</v>
      </c>
      <c r="I179" s="559"/>
      <c r="J179" s="559"/>
      <c r="K179" s="559"/>
      <c r="L179" s="559"/>
      <c r="M179" s="559"/>
      <c r="N179" s="559"/>
      <c r="O179" s="560"/>
    </row>
    <row r="180" spans="1:15">
      <c r="A180" s="568" t="s">
        <v>372</v>
      </c>
      <c r="B180" s="205"/>
      <c r="C180" s="205"/>
      <c r="D180" s="553"/>
      <c r="E180" s="590">
        <f>E179*(E176/C176)</f>
        <v>1.3744229180765191</v>
      </c>
      <c r="F180" s="567"/>
      <c r="G180" s="564" t="s">
        <v>373</v>
      </c>
      <c r="H180" s="565">
        <v>0.56259374340735147</v>
      </c>
      <c r="I180" s="559"/>
      <c r="J180" s="559"/>
      <c r="K180" s="559"/>
      <c r="L180" s="559"/>
      <c r="M180" s="559"/>
      <c r="N180" s="559"/>
      <c r="O180" s="560"/>
    </row>
    <row r="181" spans="1:15">
      <c r="A181" s="566"/>
      <c r="B181" s="205"/>
      <c r="C181" s="205"/>
      <c r="D181" s="553"/>
      <c r="E181" s="591"/>
      <c r="F181" s="567"/>
      <c r="G181" s="564" t="s">
        <v>374</v>
      </c>
      <c r="H181" s="565">
        <v>5.5225823067353533E-2</v>
      </c>
      <c r="I181" s="559"/>
      <c r="J181" s="559"/>
      <c r="K181" s="559"/>
      <c r="L181" s="559"/>
      <c r="M181" s="559"/>
      <c r="N181" s="559"/>
      <c r="O181" s="560"/>
    </row>
    <row r="182" spans="1:15" ht="15.75" thickBot="1">
      <c r="A182" s="205" t="s">
        <v>375</v>
      </c>
      <c r="B182" s="205"/>
      <c r="C182" s="205"/>
      <c r="D182" s="553"/>
      <c r="E182" s="590">
        <f>SLOPE(STOCK_GE,MARKET_SP500)</f>
        <v>1.3744229180765195</v>
      </c>
      <c r="F182" s="567"/>
      <c r="G182" s="569" t="s">
        <v>376</v>
      </c>
      <c r="H182" s="570">
        <v>48</v>
      </c>
      <c r="I182" s="559"/>
      <c r="J182" s="559"/>
      <c r="K182" s="559"/>
      <c r="L182" s="559"/>
      <c r="M182" s="559"/>
      <c r="N182" s="559"/>
      <c r="O182" s="560"/>
    </row>
    <row r="183" spans="1:15">
      <c r="A183" s="205" t="s">
        <v>377</v>
      </c>
      <c r="B183" s="205"/>
      <c r="C183" s="205"/>
      <c r="D183" s="553"/>
      <c r="E183" s="592">
        <f>INTERCEPT(STOCK_GE,MARKET_SP500)</f>
        <v>-9.4380215361387319E-3</v>
      </c>
      <c r="F183" s="571"/>
      <c r="G183" s="558"/>
      <c r="H183" s="559"/>
      <c r="I183" s="559"/>
      <c r="J183" s="559"/>
      <c r="K183" s="559"/>
      <c r="L183" s="559"/>
      <c r="M183" s="559"/>
      <c r="N183" s="559"/>
      <c r="O183" s="560"/>
    </row>
    <row r="184" spans="1:15" ht="16.5" thickBot="1">
      <c r="A184" s="205" t="s">
        <v>378</v>
      </c>
      <c r="B184" s="205"/>
      <c r="C184" s="205"/>
      <c r="D184" s="553"/>
      <c r="E184" s="643">
        <f>RSQ(STOCK_GE,MARKET_SP500)</f>
        <v>0.57190025950506684</v>
      </c>
      <c r="F184" s="567"/>
      <c r="G184" s="558" t="s">
        <v>379</v>
      </c>
      <c r="H184" s="559"/>
      <c r="I184" s="559"/>
      <c r="J184" s="559"/>
      <c r="K184" s="559"/>
      <c r="L184" s="559"/>
      <c r="M184" s="559"/>
      <c r="N184" s="559"/>
      <c r="O184" s="560"/>
    </row>
    <row r="185" spans="1:15">
      <c r="A185" s="442"/>
      <c r="B185" s="442"/>
      <c r="C185" s="442"/>
      <c r="D185" s="442"/>
      <c r="E185" s="442"/>
      <c r="F185" s="442"/>
      <c r="G185" s="572"/>
      <c r="H185" s="573" t="s">
        <v>380</v>
      </c>
      <c r="I185" s="573" t="s">
        <v>381</v>
      </c>
      <c r="J185" s="573" t="s">
        <v>382</v>
      </c>
      <c r="K185" s="573" t="s">
        <v>283</v>
      </c>
      <c r="L185" s="573" t="s">
        <v>383</v>
      </c>
      <c r="M185" s="559"/>
      <c r="N185" s="559"/>
      <c r="O185" s="560"/>
    </row>
    <row r="186" spans="1:15">
      <c r="G186" s="564" t="s">
        <v>384</v>
      </c>
      <c r="H186" s="565">
        <v>1</v>
      </c>
      <c r="I186" s="565">
        <v>0.18742069976969797</v>
      </c>
      <c r="J186" s="565">
        <v>0.18742069976969797</v>
      </c>
      <c r="K186" s="565">
        <v>61.451595151211023</v>
      </c>
      <c r="L186" s="565">
        <v>5.1113723179981372E-10</v>
      </c>
      <c r="M186" s="559"/>
      <c r="N186" s="559"/>
      <c r="O186" s="560"/>
    </row>
    <row r="187" spans="1:15">
      <c r="G187" s="564" t="s">
        <v>385</v>
      </c>
      <c r="H187" s="565">
        <v>46</v>
      </c>
      <c r="I187" s="565">
        <v>0.14029501053946533</v>
      </c>
      <c r="J187" s="565">
        <v>3.0498915334666375E-3</v>
      </c>
      <c r="K187" s="565"/>
      <c r="L187" s="565"/>
      <c r="M187" s="559"/>
      <c r="N187" s="559"/>
      <c r="O187" s="560"/>
    </row>
    <row r="188" spans="1:15" ht="15.75" thickBot="1">
      <c r="G188" s="569" t="s">
        <v>386</v>
      </c>
      <c r="H188" s="570">
        <v>47</v>
      </c>
      <c r="I188" s="570">
        <v>0.3277157103091633</v>
      </c>
      <c r="J188" s="570"/>
      <c r="K188" s="570"/>
      <c r="L188" s="570"/>
      <c r="M188" s="559"/>
      <c r="N188" s="559"/>
      <c r="O188" s="560"/>
    </row>
    <row r="189" spans="1:15" ht="15.75" thickBot="1">
      <c r="G189" s="558"/>
      <c r="H189" s="559"/>
      <c r="I189" s="559"/>
      <c r="J189" s="559"/>
      <c r="K189" s="559"/>
      <c r="L189" s="559"/>
      <c r="M189" s="559"/>
      <c r="N189" s="559"/>
      <c r="O189" s="560"/>
    </row>
    <row r="190" spans="1:15">
      <c r="G190" s="572"/>
      <c r="H190" s="573" t="s">
        <v>387</v>
      </c>
      <c r="I190" s="573" t="s">
        <v>374</v>
      </c>
      <c r="J190" s="573" t="s">
        <v>388</v>
      </c>
      <c r="K190" s="573" t="s">
        <v>389</v>
      </c>
      <c r="L190" s="573" t="s">
        <v>390</v>
      </c>
      <c r="M190" s="573" t="s">
        <v>391</v>
      </c>
      <c r="N190" s="573" t="s">
        <v>392</v>
      </c>
      <c r="O190" s="574" t="s">
        <v>393</v>
      </c>
    </row>
    <row r="191" spans="1:15">
      <c r="G191" s="564" t="s">
        <v>394</v>
      </c>
      <c r="H191" s="581">
        <v>-9.4380215361387371E-3</v>
      </c>
      <c r="I191" s="565">
        <v>8.0662277254970292E-3</v>
      </c>
      <c r="J191" s="565">
        <v>-1.1700663379866554</v>
      </c>
      <c r="K191" s="565">
        <v>0.24800089025535499</v>
      </c>
      <c r="L191" s="565">
        <v>-2.5674495569797506E-2</v>
      </c>
      <c r="M191" s="565">
        <v>6.7984524975200338E-3</v>
      </c>
      <c r="N191" s="565">
        <v>-2.5674495569797506E-2</v>
      </c>
      <c r="O191" s="575">
        <v>6.7984524975200338E-3</v>
      </c>
    </row>
    <row r="192" spans="1:15" ht="15.75" thickBot="1">
      <c r="G192" s="569" t="s">
        <v>395</v>
      </c>
      <c r="H192" s="576">
        <v>1.3744229180765188</v>
      </c>
      <c r="I192" s="570">
        <v>0.17532902104389991</v>
      </c>
      <c r="J192" s="570">
        <v>7.8391067827406777</v>
      </c>
      <c r="K192" s="570">
        <v>5.1113723179982892E-10</v>
      </c>
      <c r="L192" s="570">
        <v>1.0215039087944344</v>
      </c>
      <c r="M192" s="570">
        <v>1.7273419273586033</v>
      </c>
      <c r="N192" s="570">
        <v>1.0215039087944344</v>
      </c>
      <c r="O192" s="577">
        <v>1.7273419273586033</v>
      </c>
    </row>
    <row r="193" spans="7:15">
      <c r="G193" s="558"/>
      <c r="H193" s="559"/>
      <c r="I193" s="559"/>
      <c r="J193" s="559"/>
      <c r="K193" s="559"/>
      <c r="L193" s="559"/>
      <c r="M193" s="559"/>
      <c r="N193" s="559"/>
      <c r="O193" s="560"/>
    </row>
    <row r="194" spans="7:15">
      <c r="G194" s="558"/>
      <c r="H194" s="559"/>
      <c r="I194" s="559"/>
      <c r="J194" s="559"/>
      <c r="K194" s="559"/>
      <c r="L194" s="559"/>
      <c r="M194" s="559"/>
      <c r="N194" s="559"/>
      <c r="O194" s="560"/>
    </row>
    <row r="195" spans="7:15" ht="15.75" thickBot="1">
      <c r="G195" s="578"/>
      <c r="H195" s="579"/>
      <c r="I195" s="579"/>
      <c r="J195" s="579"/>
      <c r="K195" s="579"/>
      <c r="L195" s="579"/>
      <c r="M195" s="579"/>
      <c r="N195" s="579"/>
      <c r="O195" s="580"/>
    </row>
  </sheetData>
  <mergeCells count="12">
    <mergeCell ref="A116:F118"/>
    <mergeCell ref="A3:L3"/>
    <mergeCell ref="A7:F9"/>
    <mergeCell ref="B37:E37"/>
    <mergeCell ref="A46:E49"/>
    <mergeCell ref="A54:F55"/>
    <mergeCell ref="G84:M84"/>
    <mergeCell ref="G85:M85"/>
    <mergeCell ref="G88:M88"/>
    <mergeCell ref="G94:M94"/>
    <mergeCell ref="A102:F109"/>
    <mergeCell ref="A111:F113"/>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dimension ref="B1:O435"/>
  <sheetViews>
    <sheetView showGridLines="0" topLeftCell="A16" workbookViewId="0">
      <selection activeCell="H2" sqref="H2"/>
    </sheetView>
  </sheetViews>
  <sheetFormatPr defaultRowHeight="15"/>
  <cols>
    <col min="2" max="2" width="16.5703125" bestFit="1" customWidth="1"/>
    <col min="3" max="3" width="20.42578125" bestFit="1" customWidth="1"/>
    <col min="4" max="4" width="12" bestFit="1" customWidth="1"/>
    <col min="5" max="5" width="14" customWidth="1"/>
    <col min="6" max="6" width="13.42578125" bestFit="1" customWidth="1"/>
    <col min="8" max="8" width="12.28515625" bestFit="1" customWidth="1"/>
  </cols>
  <sheetData>
    <row r="1" spans="2:15" ht="15.75" thickBot="1"/>
    <row r="2" spans="2:15" ht="15.75" thickBot="1">
      <c r="B2" s="9" t="s">
        <v>52</v>
      </c>
      <c r="C2" s="9"/>
      <c r="D2" s="9"/>
      <c r="E2" s="9"/>
      <c r="F2" s="9"/>
      <c r="H2" s="19" t="s">
        <v>48</v>
      </c>
    </row>
    <row r="4" spans="2:15" ht="15.75" thickBot="1">
      <c r="B4" s="15" t="s">
        <v>53</v>
      </c>
      <c r="C4" s="15" t="s">
        <v>46</v>
      </c>
      <c r="D4" s="29" t="s">
        <v>2</v>
      </c>
      <c r="E4" s="29" t="s">
        <v>5</v>
      </c>
      <c r="F4" s="29" t="s">
        <v>12</v>
      </c>
      <c r="H4" s="16"/>
    </row>
    <row r="5" spans="2:15">
      <c r="B5" s="12" t="s">
        <v>68</v>
      </c>
      <c r="C5" s="34">
        <v>0.3</v>
      </c>
      <c r="D5" s="24">
        <f ca="1">(1+0.5)*D6</f>
        <v>0.68992994008835118</v>
      </c>
      <c r="E5" s="24">
        <f t="shared" ref="E5:F5" ca="1" si="0">(1+0.5)*E6</f>
        <v>0.70781180577232061</v>
      </c>
      <c r="F5" s="24">
        <f t="shared" ca="1" si="0"/>
        <v>0.23122601974088769</v>
      </c>
    </row>
    <row r="6" spans="2:15">
      <c r="B6" s="12" t="s">
        <v>51</v>
      </c>
      <c r="C6" s="34">
        <v>0.4</v>
      </c>
      <c r="D6" s="42">
        <f ca="1">HLOOKUP(D4,TAB_SA,3,FALSE)</f>
        <v>0.45995329339223412</v>
      </c>
      <c r="E6" s="42">
        <f ca="1">HLOOKUP(E4,TAB_SA,3,FALSE)</f>
        <v>0.47187453718154704</v>
      </c>
      <c r="F6" s="42">
        <f ca="1">HLOOKUP(F4,TAB_SA,3,FALSE)</f>
        <v>0.15415067982725847</v>
      </c>
    </row>
    <row r="7" spans="2:15">
      <c r="B7" s="13" t="s">
        <v>69</v>
      </c>
      <c r="C7" s="35">
        <v>0.3</v>
      </c>
      <c r="D7" s="25">
        <f ca="1">(1-0.5)*D6</f>
        <v>0.22997664669611706</v>
      </c>
      <c r="E7" s="25">
        <f t="shared" ref="E7:F7" ca="1" si="1">(1-0.5)*E6</f>
        <v>0.23593726859077352</v>
      </c>
      <c r="F7" s="25">
        <f t="shared" ca="1" si="1"/>
        <v>7.7075339913629234E-2</v>
      </c>
    </row>
    <row r="8" spans="2:15" ht="15.75" thickBot="1">
      <c r="B8" s="31"/>
      <c r="C8" s="32" t="s">
        <v>54</v>
      </c>
      <c r="D8" s="33">
        <f ca="1">SUMPRODUCT($C$5:$C$7,D5:D7)</f>
        <v>0.45995329339223417</v>
      </c>
      <c r="E8" s="33">
        <f t="shared" ref="E8:F8" ca="1" si="2">SUMPRODUCT($C$5:$C$7,E5:E7)</f>
        <v>0.47187453718154704</v>
      </c>
      <c r="F8" s="33">
        <f t="shared" ca="1" si="2"/>
        <v>0.15415067982725847</v>
      </c>
    </row>
    <row r="9" spans="2:15" ht="15.75" thickTop="1">
      <c r="C9" s="17"/>
    </row>
    <row r="10" spans="2:15">
      <c r="D10" s="30"/>
    </row>
    <row r="11" spans="2:15">
      <c r="B11" s="9" t="s">
        <v>67</v>
      </c>
      <c r="C11" s="9"/>
      <c r="D11" s="9"/>
      <c r="E11" s="9"/>
      <c r="F11" s="9"/>
      <c r="N11" s="30"/>
    </row>
    <row r="12" spans="2:15">
      <c r="N12" s="30"/>
    </row>
    <row r="13" spans="2:15" ht="15.75" thickBot="1">
      <c r="B13" s="15" t="s">
        <v>53</v>
      </c>
      <c r="C13" s="15" t="s">
        <v>46</v>
      </c>
      <c r="D13" s="29" t="str">
        <f>D4</f>
        <v>ADVANC</v>
      </c>
      <c r="E13" s="29" t="str">
        <f>E4</f>
        <v>BGH</v>
      </c>
      <c r="F13" s="29" t="str">
        <f>F4</f>
        <v>CCET</v>
      </c>
      <c r="M13" s="7"/>
      <c r="N13" s="7"/>
      <c r="O13" s="7"/>
    </row>
    <row r="14" spans="2:15">
      <c r="B14" s="12" t="str">
        <f>B5</f>
        <v>Good(+50%)</v>
      </c>
      <c r="C14" s="34">
        <f>C5</f>
        <v>0.3</v>
      </c>
      <c r="D14" s="38">
        <f ca="1">(D5-$D$8)^2</f>
        <v>5.2889258025590621E-2</v>
      </c>
      <c r="E14" s="38">
        <f ca="1">(E5-$E$8)^2</f>
        <v>5.5666394710074833E-2</v>
      </c>
      <c r="F14" s="38">
        <f ca="1">(F5-$F$8)^2</f>
        <v>5.9406080228014855E-3</v>
      </c>
      <c r="L14" s="14"/>
      <c r="M14" s="30"/>
      <c r="N14" s="30"/>
      <c r="O14" s="30"/>
    </row>
    <row r="15" spans="2:15">
      <c r="B15" s="12" t="str">
        <f>B6</f>
        <v>Normal</v>
      </c>
      <c r="C15" s="34">
        <f t="shared" ref="C15:C16" si="3">C6</f>
        <v>0.4</v>
      </c>
      <c r="D15" s="38">
        <f t="shared" ref="D15:D16" ca="1" si="4">(D6-$D$8)^2</f>
        <v>3.0814879110195774E-33</v>
      </c>
      <c r="E15" s="38">
        <f t="shared" ref="E15:E16" ca="1" si="5">(E6-$E$8)^2</f>
        <v>0</v>
      </c>
      <c r="F15" s="38">
        <f t="shared" ref="F15:F16" ca="1" si="6">(F6-$F$8)^2</f>
        <v>0</v>
      </c>
      <c r="L15" s="14"/>
      <c r="M15" s="30"/>
      <c r="N15" s="30"/>
      <c r="O15" s="30"/>
    </row>
    <row r="16" spans="2:15">
      <c r="B16" s="13" t="str">
        <f>B7</f>
        <v>Bad(-50%)</v>
      </c>
      <c r="C16" s="35">
        <f t="shared" si="3"/>
        <v>0.3</v>
      </c>
      <c r="D16" s="38">
        <f t="shared" ca="1" si="4"/>
        <v>5.2889258025590677E-2</v>
      </c>
      <c r="E16" s="38">
        <f t="shared" ca="1" si="5"/>
        <v>5.5666394710074805E-2</v>
      </c>
      <c r="F16" s="38">
        <f t="shared" ca="1" si="6"/>
        <v>5.9406080228014881E-3</v>
      </c>
      <c r="L16" s="14"/>
      <c r="M16" s="30"/>
      <c r="N16" s="30"/>
      <c r="O16" s="30"/>
    </row>
    <row r="17" spans="2:7" ht="17.25">
      <c r="B17" s="12"/>
      <c r="C17" s="37" t="s">
        <v>55</v>
      </c>
      <c r="D17" s="40">
        <f ca="1">SUMPRODUCT($C$5:$C$7,D14:D16)</f>
        <v>3.1733554815354392E-2</v>
      </c>
      <c r="E17" s="40">
        <f t="shared" ref="E17" ca="1" si="7">SUMPRODUCT($C$5:$C$7,E14:E16)</f>
        <v>3.3399836826044887E-2</v>
      </c>
      <c r="F17" s="40">
        <f t="shared" ref="F17" ca="1" si="8">SUMPRODUCT($C$5:$C$7,F14:F16)</f>
        <v>3.5643648136808922E-3</v>
      </c>
    </row>
    <row r="18" spans="2:7" ht="15.75" thickBot="1">
      <c r="B18" s="10"/>
      <c r="C18" s="36" t="s">
        <v>56</v>
      </c>
      <c r="D18" s="41">
        <f ca="1">SQRT(D17)</f>
        <v>0.17813914453413768</v>
      </c>
      <c r="E18" s="41">
        <f t="shared" ref="E18:F18" ca="1" si="9">SQRT(E17)</f>
        <v>0.18275622240034645</v>
      </c>
      <c r="F18" s="41">
        <f t="shared" ca="1" si="9"/>
        <v>5.9702301577752359E-2</v>
      </c>
    </row>
    <row r="19" spans="2:7" ht="15.75" thickTop="1"/>
    <row r="20" spans="2:7">
      <c r="B20" s="9" t="s">
        <v>62</v>
      </c>
      <c r="C20" s="9"/>
      <c r="D20" s="9"/>
      <c r="E20" s="9"/>
      <c r="F20" s="9"/>
      <c r="G20" s="9"/>
    </row>
    <row r="22" spans="2:7">
      <c r="B22" s="52" t="s">
        <v>57</v>
      </c>
      <c r="C22" s="53">
        <v>-0.3</v>
      </c>
      <c r="D22" s="13"/>
      <c r="E22" s="13"/>
      <c r="F22" s="13"/>
      <c r="G22" s="13"/>
    </row>
    <row r="23" spans="2:7" ht="15.75" thickBot="1">
      <c r="B23" s="10"/>
      <c r="C23" s="44" t="s">
        <v>64</v>
      </c>
      <c r="D23" s="45" t="s">
        <v>65</v>
      </c>
      <c r="E23" s="44" t="s">
        <v>57</v>
      </c>
      <c r="F23" s="44" t="s">
        <v>63</v>
      </c>
      <c r="G23" s="44" t="s">
        <v>66</v>
      </c>
    </row>
    <row r="24" spans="2:7" ht="15.75" thickTop="1">
      <c r="B24" s="11" t="str">
        <f t="array" ref="B24:B26">TRANSPOSE(D4:F4)</f>
        <v>ADVANC</v>
      </c>
      <c r="C24" s="46">
        <f t="array" aca="1" ref="C24:C26" ca="1">TRANSPOSE(D8:F8)</f>
        <v>0.45995329339223417</v>
      </c>
      <c r="D24" s="46">
        <f t="array" aca="1" ref="D24:D26" ca="1">TRANSPOSE(D18:F18)</f>
        <v>0.17813914453413768</v>
      </c>
      <c r="E24" s="47">
        <f ca="1">C24+C22</f>
        <v>0.15995329339223419</v>
      </c>
      <c r="F24" s="68">
        <f ca="1">(E24-C24)/D24</f>
        <v>-1.6840767972954396</v>
      </c>
      <c r="G24" s="49">
        <f ca="1">NORMSDIST(F24)</f>
        <v>4.608341392967219E-2</v>
      </c>
    </row>
    <row r="25" spans="2:7">
      <c r="B25" s="12" t="str">
        <v>BGH</v>
      </c>
      <c r="C25" s="24">
        <f ca="1"/>
        <v>0.47187453718154704</v>
      </c>
      <c r="D25" s="24">
        <f ca="1"/>
        <v>0.18275622240034645</v>
      </c>
      <c r="E25" s="48">
        <f ca="1">C25+C22</f>
        <v>0.17187453718154705</v>
      </c>
      <c r="F25" s="69">
        <f ca="1">(E25-C25)/D25</f>
        <v>-1.6415309753055569</v>
      </c>
      <c r="G25" s="49">
        <f ca="1">NORMSDIST(F25)</f>
        <v>5.0343621311123243E-2</v>
      </c>
    </row>
    <row r="26" spans="2:7">
      <c r="B26" s="13" t="str">
        <v>CCET</v>
      </c>
      <c r="C26" s="25">
        <f ca="1"/>
        <v>0.15415067982725847</v>
      </c>
      <c r="D26" s="25">
        <f ca="1"/>
        <v>5.9702301577752359E-2</v>
      </c>
      <c r="E26" s="50">
        <f ca="1">C26+C22</f>
        <v>-0.14584932017274152</v>
      </c>
      <c r="F26" s="70">
        <f ca="1">(E26-C26)/D26</f>
        <v>-5.02493190500034</v>
      </c>
      <c r="G26" s="51">
        <f ca="1">NORMSDIST(F26)</f>
        <v>2.5180559792223432E-7</v>
      </c>
    </row>
    <row r="28" spans="2:7" ht="16.5">
      <c r="B28" s="58" t="s">
        <v>80</v>
      </c>
      <c r="C28" s="59">
        <v>0</v>
      </c>
      <c r="D28" s="58" t="s">
        <v>82</v>
      </c>
      <c r="E28" s="59">
        <v>0</v>
      </c>
    </row>
    <row r="29" spans="2:7" ht="16.5">
      <c r="B29" s="58" t="s">
        <v>81</v>
      </c>
      <c r="C29" s="59">
        <v>2</v>
      </c>
      <c r="D29" s="58" t="s">
        <v>83</v>
      </c>
      <c r="E29" s="59">
        <v>3</v>
      </c>
    </row>
    <row r="31" spans="2:7" ht="18">
      <c r="B31" s="8" t="s">
        <v>58</v>
      </c>
      <c r="C31" s="56" t="s">
        <v>78</v>
      </c>
      <c r="D31" s="57" t="s">
        <v>76</v>
      </c>
      <c r="E31" s="56" t="s">
        <v>79</v>
      </c>
      <c r="F31" s="8" t="s">
        <v>77</v>
      </c>
    </row>
    <row r="32" spans="2:7">
      <c r="B32" s="7">
        <v>-4</v>
      </c>
      <c r="C32" s="55">
        <f t="shared" ref="C32:C63" si="10">mue_1+B32*sigma_1</f>
        <v>-8</v>
      </c>
      <c r="D32" s="54">
        <f t="shared" ref="D32:D63" si="11">NORMDIST(C32,mue_1,sigma_1,0)</f>
        <v>6.691511288244267E-5</v>
      </c>
      <c r="E32">
        <f t="shared" ref="E32:E63" si="12">mue_2+C32*sigma_2</f>
        <v>-24</v>
      </c>
      <c r="F32" s="27">
        <f t="shared" ref="F32:F63" si="13">NORMDIST(E32,mue_2,sigma_2,0)</f>
        <v>1.6840903611789641E-15</v>
      </c>
    </row>
    <row r="33" spans="2:6">
      <c r="B33" s="7">
        <f>B32+0.05</f>
        <v>-3.95</v>
      </c>
      <c r="C33" s="55">
        <f t="shared" si="10"/>
        <v>-7.9</v>
      </c>
      <c r="D33" s="54">
        <f t="shared" si="11"/>
        <v>8.1628204383120994E-5</v>
      </c>
      <c r="E33">
        <f t="shared" si="12"/>
        <v>-23.700000000000003</v>
      </c>
      <c r="F33" s="27">
        <f t="shared" si="13"/>
        <v>3.7293187381172453E-15</v>
      </c>
    </row>
    <row r="34" spans="2:6">
      <c r="B34" s="7">
        <f t="shared" ref="B34:B97" si="14">B33+0.05</f>
        <v>-3.9000000000000004</v>
      </c>
      <c r="C34" s="55">
        <f t="shared" si="10"/>
        <v>-7.8000000000000007</v>
      </c>
      <c r="D34" s="54">
        <f t="shared" si="11"/>
        <v>9.9327735696386169E-5</v>
      </c>
      <c r="E34">
        <f t="shared" si="12"/>
        <v>-23.400000000000002</v>
      </c>
      <c r="F34" s="27">
        <f t="shared" si="13"/>
        <v>8.1761842856547446E-15</v>
      </c>
    </row>
    <row r="35" spans="2:6">
      <c r="B35" s="7">
        <f t="shared" si="14"/>
        <v>-3.8500000000000005</v>
      </c>
      <c r="C35" s="55">
        <f t="shared" si="10"/>
        <v>-7.7000000000000011</v>
      </c>
      <c r="D35" s="54">
        <f t="shared" si="11"/>
        <v>1.205632901129965E-4</v>
      </c>
      <c r="E35">
        <f t="shared" si="12"/>
        <v>-23.1</v>
      </c>
      <c r="F35" s="27">
        <f t="shared" si="13"/>
        <v>1.7747161240843204E-14</v>
      </c>
    </row>
    <row r="36" spans="2:6">
      <c r="B36" s="7">
        <f t="shared" si="14"/>
        <v>-3.8000000000000007</v>
      </c>
      <c r="C36" s="55">
        <f t="shared" si="10"/>
        <v>-7.6000000000000014</v>
      </c>
      <c r="D36" s="54">
        <f t="shared" si="11"/>
        <v>1.4597346289572973E-4</v>
      </c>
      <c r="E36">
        <f t="shared" si="12"/>
        <v>-22.800000000000004</v>
      </c>
      <c r="F36" s="27">
        <f t="shared" si="13"/>
        <v>3.8138549672670824E-14</v>
      </c>
    </row>
    <row r="37" spans="2:6">
      <c r="B37" s="7">
        <f t="shared" si="14"/>
        <v>-3.7500000000000009</v>
      </c>
      <c r="C37" s="55">
        <f t="shared" si="10"/>
        <v>-7.5000000000000018</v>
      </c>
      <c r="D37" s="54">
        <f t="shared" si="11"/>
        <v>1.7629784118372205E-4</v>
      </c>
      <c r="E37">
        <f t="shared" si="12"/>
        <v>-22.500000000000007</v>
      </c>
      <c r="F37" s="27">
        <f t="shared" si="13"/>
        <v>8.1144017767632215E-14</v>
      </c>
    </row>
    <row r="38" spans="2:6">
      <c r="B38" s="7">
        <f t="shared" si="14"/>
        <v>-3.7000000000000011</v>
      </c>
      <c r="C38" s="55">
        <f t="shared" si="10"/>
        <v>-7.4000000000000021</v>
      </c>
      <c r="D38" s="54">
        <f t="shared" si="11"/>
        <v>2.1239013527537496E-4</v>
      </c>
      <c r="E38">
        <f t="shared" si="12"/>
        <v>-22.200000000000006</v>
      </c>
      <c r="F38" s="27">
        <f t="shared" si="13"/>
        <v>1.7092512122655358E-13</v>
      </c>
    </row>
    <row r="39" spans="2:6">
      <c r="B39" s="7">
        <f t="shared" si="14"/>
        <v>-3.6500000000000012</v>
      </c>
      <c r="C39" s="55">
        <f t="shared" si="10"/>
        <v>-7.3000000000000025</v>
      </c>
      <c r="D39" s="54">
        <f t="shared" si="11"/>
        <v>2.5523248717209161E-4</v>
      </c>
      <c r="E39">
        <f t="shared" si="12"/>
        <v>-21.900000000000006</v>
      </c>
      <c r="F39" s="27">
        <f t="shared" si="13"/>
        <v>3.564612623847162E-13</v>
      </c>
    </row>
    <row r="40" spans="2:6">
      <c r="B40" s="7">
        <f t="shared" si="14"/>
        <v>-3.6000000000000014</v>
      </c>
      <c r="C40" s="55">
        <f t="shared" si="10"/>
        <v>-7.2000000000000028</v>
      </c>
      <c r="D40" s="54">
        <f t="shared" si="11"/>
        <v>3.0595096505688459E-4</v>
      </c>
      <c r="E40">
        <f t="shared" si="12"/>
        <v>-21.600000000000009</v>
      </c>
      <c r="F40" s="27">
        <f t="shared" si="13"/>
        <v>7.3599665437903325E-13</v>
      </c>
    </row>
    <row r="41" spans="2:6">
      <c r="B41" s="7">
        <f t="shared" si="14"/>
        <v>-3.5500000000000016</v>
      </c>
      <c r="C41" s="55">
        <f t="shared" si="10"/>
        <v>-7.1000000000000032</v>
      </c>
      <c r="D41" s="54">
        <f t="shared" si="11"/>
        <v>3.6583223141515312E-4</v>
      </c>
      <c r="E41">
        <f t="shared" si="12"/>
        <v>-21.300000000000011</v>
      </c>
      <c r="F41" s="27">
        <f t="shared" si="13"/>
        <v>1.5045145590684631E-12</v>
      </c>
    </row>
    <row r="42" spans="2:6">
      <c r="B42" s="7">
        <f t="shared" si="14"/>
        <v>-3.5000000000000018</v>
      </c>
      <c r="C42" s="55">
        <f t="shared" si="10"/>
        <v>-7.0000000000000036</v>
      </c>
      <c r="D42" s="54">
        <f t="shared" si="11"/>
        <v>4.3634134752287731E-4</v>
      </c>
      <c r="E42">
        <f t="shared" si="12"/>
        <v>-21.000000000000011</v>
      </c>
      <c r="F42" s="27">
        <f t="shared" si="13"/>
        <v>3.0449068027881217E-12</v>
      </c>
    </row>
    <row r="43" spans="2:6">
      <c r="B43" s="7">
        <f t="shared" si="14"/>
        <v>-3.450000000000002</v>
      </c>
      <c r="C43" s="55">
        <f t="shared" si="10"/>
        <v>-6.9000000000000039</v>
      </c>
      <c r="D43" s="54">
        <f t="shared" si="11"/>
        <v>5.1914064783070181E-4</v>
      </c>
      <c r="E43">
        <f t="shared" si="12"/>
        <v>-20.70000000000001</v>
      </c>
      <c r="F43" s="27">
        <f t="shared" si="13"/>
        <v>6.1011073900517958E-12</v>
      </c>
    </row>
    <row r="44" spans="2:6">
      <c r="B44" s="7">
        <f t="shared" si="14"/>
        <v>-3.4000000000000021</v>
      </c>
      <c r="C44" s="55">
        <f t="shared" si="10"/>
        <v>-6.8000000000000043</v>
      </c>
      <c r="D44" s="54">
        <f t="shared" si="11"/>
        <v>6.1610958423650498E-4</v>
      </c>
      <c r="E44">
        <f t="shared" si="12"/>
        <v>-20.400000000000013</v>
      </c>
      <c r="F44" s="27">
        <f t="shared" si="13"/>
        <v>1.210320500597228E-11</v>
      </c>
    </row>
    <row r="45" spans="2:6">
      <c r="B45" s="7">
        <f t="shared" si="14"/>
        <v>-3.3500000000000023</v>
      </c>
      <c r="C45" s="55">
        <f t="shared" si="10"/>
        <v>-6.7000000000000046</v>
      </c>
      <c r="D45" s="54">
        <f t="shared" si="11"/>
        <v>7.2936540233336708E-4</v>
      </c>
      <c r="E45">
        <f t="shared" si="12"/>
        <v>-20.100000000000016</v>
      </c>
      <c r="F45" s="27">
        <f t="shared" si="13"/>
        <v>2.3771093746652735E-11</v>
      </c>
    </row>
    <row r="46" spans="2:6">
      <c r="B46" s="7">
        <f t="shared" si="14"/>
        <v>-3.3000000000000025</v>
      </c>
      <c r="C46" s="55">
        <f t="shared" si="10"/>
        <v>-6.600000000000005</v>
      </c>
      <c r="D46" s="54">
        <f t="shared" si="11"/>
        <v>8.6128446952683281E-4</v>
      </c>
      <c r="E46">
        <f t="shared" si="12"/>
        <v>-19.800000000000015</v>
      </c>
      <c r="F46" s="27">
        <f t="shared" si="13"/>
        <v>4.622266647217559E-11</v>
      </c>
    </row>
    <row r="47" spans="2:6">
      <c r="B47" s="7">
        <f t="shared" si="14"/>
        <v>-3.2500000000000027</v>
      </c>
      <c r="C47" s="55">
        <f t="shared" si="10"/>
        <v>-6.5000000000000053</v>
      </c>
      <c r="D47" s="54">
        <f t="shared" si="11"/>
        <v>1.0145240286498749E-3</v>
      </c>
      <c r="E47">
        <f t="shared" si="12"/>
        <v>-19.500000000000014</v>
      </c>
      <c r="F47" s="27">
        <f t="shared" si="13"/>
        <v>8.8985220492092203E-11</v>
      </c>
    </row>
    <row r="48" spans="2:6">
      <c r="B48" s="7">
        <f t="shared" si="14"/>
        <v>-3.2000000000000028</v>
      </c>
      <c r="C48" s="55">
        <f t="shared" si="10"/>
        <v>-6.4000000000000057</v>
      </c>
      <c r="D48" s="54">
        <f t="shared" si="11"/>
        <v>1.1920441007324104E-3</v>
      </c>
      <c r="E48">
        <f t="shared" si="12"/>
        <v>-19.200000000000017</v>
      </c>
      <c r="F48" s="27">
        <f t="shared" si="13"/>
        <v>1.696046760548292E-10</v>
      </c>
    </row>
    <row r="49" spans="2:6">
      <c r="B49" s="7">
        <f t="shared" si="14"/>
        <v>-3.150000000000003</v>
      </c>
      <c r="C49" s="55">
        <f t="shared" si="10"/>
        <v>-6.300000000000006</v>
      </c>
      <c r="D49" s="54">
        <f t="shared" si="11"/>
        <v>1.3971292074397097E-3</v>
      </c>
      <c r="E49">
        <f t="shared" si="12"/>
        <v>-18.90000000000002</v>
      </c>
      <c r="F49" s="27">
        <f t="shared" si="13"/>
        <v>3.2004777901039749E-10</v>
      </c>
    </row>
    <row r="50" spans="2:6">
      <c r="B50" s="7">
        <f t="shared" si="14"/>
        <v>-3.1000000000000032</v>
      </c>
      <c r="C50" s="55">
        <f t="shared" si="10"/>
        <v>-6.2000000000000064</v>
      </c>
      <c r="D50" s="54">
        <f t="shared" si="11"/>
        <v>1.6334095280999444E-3</v>
      </c>
      <c r="E50">
        <f t="shared" si="12"/>
        <v>-18.600000000000019</v>
      </c>
      <c r="F50" s="27">
        <f t="shared" si="13"/>
        <v>5.9792796932133633E-10</v>
      </c>
    </row>
    <row r="51" spans="2:6">
      <c r="B51" s="7">
        <f t="shared" si="14"/>
        <v>-3.0500000000000034</v>
      </c>
      <c r="C51" s="55">
        <f t="shared" si="10"/>
        <v>-6.1000000000000068</v>
      </c>
      <c r="D51" s="54">
        <f t="shared" si="11"/>
        <v>1.9048810491108846E-3</v>
      </c>
      <c r="E51">
        <f t="shared" si="12"/>
        <v>-18.300000000000018</v>
      </c>
      <c r="F51" s="27">
        <f t="shared" si="13"/>
        <v>1.105961414515725E-9</v>
      </c>
    </row>
    <row r="52" spans="2:6">
      <c r="B52" s="7">
        <f t="shared" si="14"/>
        <v>-3.0000000000000036</v>
      </c>
      <c r="C52" s="55">
        <f t="shared" si="10"/>
        <v>-6.0000000000000071</v>
      </c>
      <c r="D52" s="54">
        <f t="shared" si="11"/>
        <v>2.2159242059689799E-3</v>
      </c>
      <c r="E52">
        <f t="shared" si="12"/>
        <v>-18.000000000000021</v>
      </c>
      <c r="F52" s="27">
        <f t="shared" si="13"/>
        <v>2.0252942832743421E-9</v>
      </c>
    </row>
    <row r="53" spans="2:6">
      <c r="B53" s="7">
        <f t="shared" si="14"/>
        <v>-2.9500000000000037</v>
      </c>
      <c r="C53" s="55">
        <f t="shared" si="10"/>
        <v>-5.9000000000000075</v>
      </c>
      <c r="D53" s="54">
        <f t="shared" si="11"/>
        <v>2.5713204615269414E-3</v>
      </c>
      <c r="E53">
        <f t="shared" si="12"/>
        <v>-17.700000000000024</v>
      </c>
      <c r="F53" s="27">
        <f t="shared" si="13"/>
        <v>3.6719212082272664E-9</v>
      </c>
    </row>
    <row r="54" spans="2:6">
      <c r="B54" s="7">
        <f t="shared" si="14"/>
        <v>-2.9000000000000039</v>
      </c>
      <c r="C54" s="55">
        <f t="shared" si="10"/>
        <v>-5.8000000000000078</v>
      </c>
      <c r="D54" s="54">
        <f t="shared" si="11"/>
        <v>2.9762662098878922E-3</v>
      </c>
      <c r="E54">
        <f t="shared" si="12"/>
        <v>-17.400000000000023</v>
      </c>
      <c r="F54" s="27">
        <f t="shared" si="13"/>
        <v>6.5910654687479182E-9</v>
      </c>
    </row>
    <row r="55" spans="2:6">
      <c r="B55" s="7">
        <f t="shared" si="14"/>
        <v>-2.8500000000000041</v>
      </c>
      <c r="C55" s="55">
        <f t="shared" si="10"/>
        <v>-5.7000000000000082</v>
      </c>
      <c r="D55" s="54">
        <f t="shared" si="11"/>
        <v>3.4363833453069457E-3</v>
      </c>
      <c r="E55">
        <f t="shared" si="12"/>
        <v>-17.100000000000023</v>
      </c>
      <c r="F55" s="27">
        <f t="shared" si="13"/>
        <v>1.1713183649400944E-8</v>
      </c>
    </row>
    <row r="56" spans="2:6">
      <c r="B56" s="7">
        <f t="shared" si="14"/>
        <v>-2.8000000000000043</v>
      </c>
      <c r="C56" s="55">
        <f t="shared" si="10"/>
        <v>-5.6000000000000085</v>
      </c>
      <c r="D56" s="54">
        <f t="shared" si="11"/>
        <v>3.9577257914899348E-3</v>
      </c>
      <c r="E56">
        <f t="shared" si="12"/>
        <v>-16.800000000000026</v>
      </c>
      <c r="F56" s="27">
        <f t="shared" si="13"/>
        <v>2.060873500055183E-8</v>
      </c>
    </row>
    <row r="57" spans="2:6">
      <c r="B57" s="7">
        <f t="shared" si="14"/>
        <v>-2.7500000000000044</v>
      </c>
      <c r="C57" s="55">
        <f t="shared" si="10"/>
        <v>-5.5000000000000089</v>
      </c>
      <c r="D57" s="54">
        <f t="shared" si="11"/>
        <v>4.5467812507954701E-3</v>
      </c>
      <c r="E57">
        <f t="shared" si="12"/>
        <v>-16.500000000000028</v>
      </c>
      <c r="F57" s="27">
        <f t="shared" si="13"/>
        <v>3.5899200141809138E-8</v>
      </c>
    </row>
    <row r="58" spans="2:6">
      <c r="B58" s="7">
        <f t="shared" si="14"/>
        <v>-2.7000000000000046</v>
      </c>
      <c r="C58" s="55">
        <f t="shared" si="10"/>
        <v>-5.4000000000000092</v>
      </c>
      <c r="D58" s="54">
        <f t="shared" si="11"/>
        <v>5.2104674072112325E-3</v>
      </c>
      <c r="E58">
        <f t="shared" si="12"/>
        <v>-16.200000000000028</v>
      </c>
      <c r="F58" s="27">
        <f t="shared" si="13"/>
        <v>6.1912061485173354E-8</v>
      </c>
    </row>
    <row r="59" spans="2:6">
      <c r="B59" s="7">
        <f t="shared" si="14"/>
        <v>-2.6500000000000048</v>
      </c>
      <c r="C59" s="55">
        <f t="shared" si="10"/>
        <v>-5.3000000000000096</v>
      </c>
      <c r="D59" s="54">
        <f t="shared" si="11"/>
        <v>5.9561218038025115E-3</v>
      </c>
      <c r="E59">
        <f t="shared" si="12"/>
        <v>-15.900000000000029</v>
      </c>
      <c r="F59" s="27">
        <f t="shared" si="13"/>
        <v>1.0571164055719372E-7</v>
      </c>
    </row>
    <row r="60" spans="2:6">
      <c r="B60" s="7">
        <f t="shared" si="14"/>
        <v>-2.600000000000005</v>
      </c>
      <c r="C60" s="55">
        <f t="shared" si="10"/>
        <v>-5.2000000000000099</v>
      </c>
      <c r="D60" s="54">
        <f t="shared" si="11"/>
        <v>6.7914846168427214E-3</v>
      </c>
      <c r="E60">
        <f t="shared" si="12"/>
        <v>-15.60000000000003</v>
      </c>
      <c r="F60" s="27">
        <f t="shared" si="13"/>
        <v>1.7870117815657821E-7</v>
      </c>
    </row>
    <row r="61" spans="2:6">
      <c r="B61" s="7">
        <f t="shared" si="14"/>
        <v>-2.5500000000000052</v>
      </c>
      <c r="C61" s="55">
        <f t="shared" si="10"/>
        <v>-5.1000000000000103</v>
      </c>
      <c r="D61" s="54">
        <f t="shared" si="11"/>
        <v>7.724673567197483E-3</v>
      </c>
      <c r="E61">
        <f t="shared" si="12"/>
        <v>-15.300000000000031</v>
      </c>
      <c r="F61" s="27">
        <f t="shared" si="13"/>
        <v>2.9908117207942857E-7</v>
      </c>
    </row>
    <row r="62" spans="2:6">
      <c r="B62" s="7">
        <f t="shared" si="14"/>
        <v>-2.5000000000000053</v>
      </c>
      <c r="C62" s="55">
        <f t="shared" si="10"/>
        <v>-5.0000000000000107</v>
      </c>
      <c r="D62" s="54">
        <f t="shared" si="11"/>
        <v>8.7641502467841505E-3</v>
      </c>
      <c r="E62">
        <f t="shared" si="12"/>
        <v>-15.000000000000032</v>
      </c>
      <c r="F62" s="27">
        <f t="shared" si="13"/>
        <v>4.9557317157807283E-7</v>
      </c>
    </row>
    <row r="63" spans="2:6">
      <c r="B63" s="7">
        <f t="shared" si="14"/>
        <v>-2.4500000000000055</v>
      </c>
      <c r="C63" s="55">
        <f t="shared" si="10"/>
        <v>-4.900000000000011</v>
      </c>
      <c r="D63" s="54">
        <f t="shared" si="11"/>
        <v>9.9186771958975264E-3</v>
      </c>
      <c r="E63">
        <f t="shared" si="12"/>
        <v>-14.700000000000033</v>
      </c>
      <c r="F63" s="27">
        <f t="shared" si="13"/>
        <v>8.129869152977421E-7</v>
      </c>
    </row>
    <row r="64" spans="2:6">
      <c r="B64" s="7">
        <f t="shared" si="14"/>
        <v>-2.4000000000000057</v>
      </c>
      <c r="C64" s="55">
        <f t="shared" ref="C64:C95" si="15">mue_1+B64*sigma_1</f>
        <v>-4.8000000000000114</v>
      </c>
      <c r="D64" s="54">
        <f t="shared" ref="D64:D95" si="16">NORMDIST(C64,mue_1,sigma_1,0)</f>
        <v>1.1197265147421295E-2</v>
      </c>
      <c r="E64">
        <f t="shared" ref="E64:E95" si="17">mue_2+C64*sigma_2</f>
        <v>-14.400000000000034</v>
      </c>
      <c r="F64" s="27">
        <f t="shared" ref="F64:F95" si="18">NORMDIST(E64,mue_2,sigma_2,0)</f>
        <v>1.3204330303439522E-6</v>
      </c>
    </row>
    <row r="65" spans="2:6">
      <c r="B65" s="7">
        <f t="shared" si="14"/>
        <v>-2.3500000000000059</v>
      </c>
      <c r="C65" s="55">
        <f t="shared" si="15"/>
        <v>-4.7000000000000117</v>
      </c>
      <c r="D65" s="54">
        <f t="shared" si="16"/>
        <v>1.2609109957597021E-2</v>
      </c>
      <c r="E65">
        <f t="shared" si="17"/>
        <v>-14.100000000000035</v>
      </c>
      <c r="F65" s="27">
        <f t="shared" si="18"/>
        <v>2.1232750596222502E-6</v>
      </c>
    </row>
    <row r="66" spans="2:6">
      <c r="B66" s="7">
        <f t="shared" si="14"/>
        <v>-2.300000000000006</v>
      </c>
      <c r="C66" s="55">
        <f t="shared" si="15"/>
        <v>-4.6000000000000121</v>
      </c>
      <c r="D66" s="54">
        <f t="shared" si="16"/>
        <v>1.416351887080039E-2</v>
      </c>
      <c r="E66">
        <f t="shared" si="17"/>
        <v>-13.800000000000036</v>
      </c>
      <c r="F66" s="27">
        <f t="shared" si="18"/>
        <v>3.3802840218287273E-6</v>
      </c>
    </row>
    <row r="67" spans="2:6">
      <c r="B67" s="7">
        <f t="shared" si="14"/>
        <v>-2.2500000000000062</v>
      </c>
      <c r="C67" s="55">
        <f t="shared" si="15"/>
        <v>-4.5000000000000124</v>
      </c>
      <c r="D67" s="54">
        <f t="shared" si="16"/>
        <v>1.586982591783348E-2</v>
      </c>
      <c r="E67">
        <f t="shared" si="17"/>
        <v>-13.500000000000037</v>
      </c>
      <c r="F67" s="27">
        <f t="shared" si="18"/>
        <v>5.3279137023015312E-6</v>
      </c>
    </row>
    <row r="68" spans="2:6">
      <c r="B68" s="7">
        <f t="shared" si="14"/>
        <v>-2.2000000000000064</v>
      </c>
      <c r="C68" s="55">
        <f t="shared" si="15"/>
        <v>-4.4000000000000128</v>
      </c>
      <c r="D68" s="54">
        <f t="shared" si="16"/>
        <v>1.7737296423115466E-2</v>
      </c>
      <c r="E68">
        <f t="shared" si="17"/>
        <v>-13.200000000000038</v>
      </c>
      <c r="F68" s="27">
        <f t="shared" si="18"/>
        <v>8.3141570966840521E-6</v>
      </c>
    </row>
    <row r="69" spans="2:6">
      <c r="B69" s="7">
        <f t="shared" si="14"/>
        <v>-2.1500000000000066</v>
      </c>
      <c r="C69" s="55">
        <f t="shared" si="15"/>
        <v>-4.3000000000000131</v>
      </c>
      <c r="D69" s="54">
        <f t="shared" si="16"/>
        <v>1.9775020794684829E-2</v>
      </c>
      <c r="E69">
        <f t="shared" si="17"/>
        <v>-12.900000000000039</v>
      </c>
      <c r="F69" s="27">
        <f t="shared" si="18"/>
        <v>1.2845065580694978E-5</v>
      </c>
    </row>
    <row r="70" spans="2:6">
      <c r="B70" s="7">
        <f t="shared" si="14"/>
        <v>-2.1000000000000068</v>
      </c>
      <c r="C70" s="55">
        <f t="shared" si="15"/>
        <v>-4.2000000000000135</v>
      </c>
      <c r="D70" s="54">
        <f t="shared" si="16"/>
        <v>2.199179799021328E-2</v>
      </c>
      <c r="E70">
        <f t="shared" si="17"/>
        <v>-12.600000000000041</v>
      </c>
      <c r="F70" s="27">
        <f t="shared" si="18"/>
        <v>1.964768925217883E-5</v>
      </c>
    </row>
    <row r="71" spans="2:6">
      <c r="B71" s="7">
        <f t="shared" si="14"/>
        <v>-2.0500000000000069</v>
      </c>
      <c r="C71" s="55">
        <f t="shared" si="15"/>
        <v>-4.1000000000000139</v>
      </c>
      <c r="D71" s="54">
        <f t="shared" si="16"/>
        <v>2.4396009289591035E-2</v>
      </c>
      <c r="E71">
        <f t="shared" si="17"/>
        <v>-12.300000000000042</v>
      </c>
      <c r="F71" s="27">
        <f t="shared" si="18"/>
        <v>2.975388572570928E-5</v>
      </c>
    </row>
    <row r="72" spans="2:6">
      <c r="B72" s="7">
        <f t="shared" si="14"/>
        <v>-2.0000000000000071</v>
      </c>
      <c r="C72" s="55">
        <f t="shared" si="15"/>
        <v>-4.0000000000000142</v>
      </c>
      <c r="D72" s="54">
        <f t="shared" si="16"/>
        <v>2.6995483256593639E-2</v>
      </c>
      <c r="E72">
        <f t="shared" si="17"/>
        <v>-12.000000000000043</v>
      </c>
      <c r="F72" s="27">
        <f t="shared" si="18"/>
        <v>4.4610075254959248E-5</v>
      </c>
    </row>
    <row r="73" spans="2:6">
      <c r="B73" s="7">
        <f t="shared" si="14"/>
        <v>-1.9500000000000071</v>
      </c>
      <c r="C73" s="55">
        <f t="shared" si="15"/>
        <v>-3.9000000000000141</v>
      </c>
      <c r="D73" s="54">
        <f t="shared" si="16"/>
        <v>2.9797353034407618E-2</v>
      </c>
      <c r="E73">
        <f t="shared" si="17"/>
        <v>-11.700000000000042</v>
      </c>
      <c r="F73" s="27">
        <f t="shared" si="18"/>
        <v>6.6218490464253909E-5</v>
      </c>
    </row>
    <row r="74" spans="2:6">
      <c r="B74" s="7">
        <f t="shared" si="14"/>
        <v>-1.900000000000007</v>
      </c>
      <c r="C74" s="55">
        <f t="shared" si="15"/>
        <v>-3.800000000000014</v>
      </c>
      <c r="D74" s="54">
        <f t="shared" si="16"/>
        <v>3.2807907387337853E-2</v>
      </c>
      <c r="E74">
        <f t="shared" si="17"/>
        <v>-11.400000000000041</v>
      </c>
      <c r="F74" s="27">
        <f t="shared" si="18"/>
        <v>9.7315641930481643E-5</v>
      </c>
    </row>
    <row r="75" spans="2:6">
      <c r="B75" s="7">
        <f t="shared" si="14"/>
        <v>-1.850000000000007</v>
      </c>
      <c r="C75" s="55">
        <f t="shared" si="15"/>
        <v>-3.7000000000000139</v>
      </c>
      <c r="D75" s="54">
        <f t="shared" si="16"/>
        <v>3.6032437168108528E-2</v>
      </c>
      <c r="E75">
        <f t="shared" si="17"/>
        <v>-11.100000000000042</v>
      </c>
      <c r="F75" s="27">
        <f t="shared" si="18"/>
        <v>1.4159342351690983E-4</v>
      </c>
    </row>
    <row r="76" spans="2:6">
      <c r="B76" s="7">
        <f t="shared" si="14"/>
        <v>-1.8000000000000069</v>
      </c>
      <c r="C76" s="55">
        <f t="shared" si="15"/>
        <v>-3.6000000000000139</v>
      </c>
      <c r="D76" s="54">
        <f t="shared" si="16"/>
        <v>3.9475079150446582E-2</v>
      </c>
      <c r="E76">
        <f t="shared" si="17"/>
        <v>-10.800000000000042</v>
      </c>
      <c r="F76" s="27">
        <f t="shared" si="18"/>
        <v>2.0396731003791379E-4</v>
      </c>
    </row>
    <row r="77" spans="2:6">
      <c r="B77" s="7">
        <f t="shared" si="14"/>
        <v>-1.7500000000000069</v>
      </c>
      <c r="C77" s="55">
        <f t="shared" si="15"/>
        <v>-3.5000000000000138</v>
      </c>
      <c r="D77" s="54">
        <f t="shared" si="16"/>
        <v>4.3138659413255238E-2</v>
      </c>
      <c r="E77">
        <f t="shared" si="17"/>
        <v>-10.500000000000041</v>
      </c>
      <c r="F77" s="27">
        <f t="shared" si="18"/>
        <v>2.9089423168190634E-4</v>
      </c>
    </row>
    <row r="78" spans="2:6">
      <c r="B78" s="7">
        <f t="shared" si="14"/>
        <v>-1.7000000000000068</v>
      </c>
      <c r="C78" s="55">
        <f t="shared" si="15"/>
        <v>-3.4000000000000137</v>
      </c>
      <c r="D78" s="54">
        <f t="shared" si="16"/>
        <v>4.7024538688442911E-2</v>
      </c>
      <c r="E78">
        <f t="shared" si="17"/>
        <v>-10.200000000000042</v>
      </c>
      <c r="F78" s="27">
        <f t="shared" si="18"/>
        <v>4.1073972282432023E-4</v>
      </c>
    </row>
    <row r="79" spans="2:6">
      <c r="B79" s="7">
        <f t="shared" si="14"/>
        <v>-1.6500000000000068</v>
      </c>
      <c r="C79" s="55">
        <f t="shared" si="15"/>
        <v>-3.3000000000000136</v>
      </c>
      <c r="D79" s="54">
        <f t="shared" si="16"/>
        <v>5.1132462281988422E-2</v>
      </c>
      <c r="E79">
        <f t="shared" si="17"/>
        <v>-9.9000000000000412</v>
      </c>
      <c r="F79" s="27">
        <f t="shared" si="18"/>
        <v>5.7418964635120055E-4</v>
      </c>
    </row>
    <row r="80" spans="2:6">
      <c r="B80" s="7">
        <f t="shared" si="14"/>
        <v>-1.6000000000000068</v>
      </c>
      <c r="C80" s="55">
        <f t="shared" si="15"/>
        <v>-3.2000000000000135</v>
      </c>
      <c r="D80" s="54">
        <f t="shared" si="16"/>
        <v>5.5460417339727168E-2</v>
      </c>
      <c r="E80">
        <f t="shared" si="17"/>
        <v>-9.6000000000000405</v>
      </c>
      <c r="F80" s="27">
        <f t="shared" si="18"/>
        <v>7.9469606715491272E-4</v>
      </c>
    </row>
    <row r="81" spans="2:6">
      <c r="B81" s="7">
        <f t="shared" si="14"/>
        <v>-1.5500000000000067</v>
      </c>
      <c r="C81" s="55">
        <f t="shared" si="15"/>
        <v>-3.1000000000000134</v>
      </c>
      <c r="D81" s="54">
        <f t="shared" si="16"/>
        <v>6.0004500348492175E-2</v>
      </c>
      <c r="E81">
        <f t="shared" si="17"/>
        <v>-9.3000000000000398</v>
      </c>
      <c r="F81" s="27">
        <f t="shared" si="18"/>
        <v>1.0889396853999292E-3</v>
      </c>
    </row>
    <row r="82" spans="2:6">
      <c r="B82" s="7">
        <f t="shared" si="14"/>
        <v>-1.5000000000000067</v>
      </c>
      <c r="C82" s="55">
        <f t="shared" si="15"/>
        <v>-3.0000000000000133</v>
      </c>
      <c r="D82" s="54">
        <f t="shared" si="16"/>
        <v>6.4758797832945206E-2</v>
      </c>
      <c r="E82">
        <f t="shared" si="17"/>
        <v>-9.0000000000000391</v>
      </c>
      <c r="F82" s="27">
        <f t="shared" si="18"/>
        <v>1.477282803979278E-3</v>
      </c>
    </row>
    <row r="83" spans="2:6">
      <c r="B83" s="7">
        <f t="shared" si="14"/>
        <v>-1.4500000000000066</v>
      </c>
      <c r="C83" s="55">
        <f t="shared" si="15"/>
        <v>-2.9000000000000132</v>
      </c>
      <c r="D83" s="54">
        <f t="shared" si="16"/>
        <v>6.9715283222679447E-2</v>
      </c>
      <c r="E83">
        <f t="shared" si="17"/>
        <v>-8.7000000000000401</v>
      </c>
      <c r="F83" s="27">
        <f t="shared" si="18"/>
        <v>1.9841774732585419E-3</v>
      </c>
    </row>
    <row r="84" spans="2:6">
      <c r="B84" s="7">
        <f t="shared" si="14"/>
        <v>-1.4000000000000066</v>
      </c>
      <c r="C84" s="55">
        <f t="shared" si="15"/>
        <v>-2.8000000000000131</v>
      </c>
      <c r="D84" s="54">
        <f t="shared" si="16"/>
        <v>7.4863732817871731E-2</v>
      </c>
      <c r="E84">
        <f t="shared" si="17"/>
        <v>-8.4000000000000394</v>
      </c>
      <c r="F84" s="27">
        <f t="shared" si="18"/>
        <v>2.6384838609932251E-3</v>
      </c>
    </row>
    <row r="85" spans="2:6">
      <c r="B85" s="7">
        <f t="shared" si="14"/>
        <v>-1.3500000000000065</v>
      </c>
      <c r="C85" s="55">
        <f t="shared" si="15"/>
        <v>-2.7000000000000131</v>
      </c>
      <c r="D85" s="54">
        <f t="shared" si="16"/>
        <v>8.019166367095909E-2</v>
      </c>
      <c r="E85">
        <f t="shared" si="17"/>
        <v>-8.1000000000000387</v>
      </c>
      <c r="F85" s="27">
        <f t="shared" si="18"/>
        <v>3.4736449381407445E-3</v>
      </c>
    </row>
    <row r="86" spans="2:6">
      <c r="B86" s="7">
        <f t="shared" si="14"/>
        <v>-1.3000000000000065</v>
      </c>
      <c r="C86" s="55">
        <f t="shared" si="15"/>
        <v>-2.600000000000013</v>
      </c>
      <c r="D86" s="54">
        <f t="shared" si="16"/>
        <v>8.5684296023902956E-2</v>
      </c>
      <c r="E86">
        <f t="shared" si="17"/>
        <v>-7.8000000000000389</v>
      </c>
      <c r="F86" s="27">
        <f t="shared" si="18"/>
        <v>4.527656411228387E-3</v>
      </c>
    </row>
    <row r="87" spans="2:6">
      <c r="B87" s="7">
        <f t="shared" si="14"/>
        <v>-1.2500000000000064</v>
      </c>
      <c r="C87" s="55">
        <f t="shared" si="15"/>
        <v>-2.5000000000000129</v>
      </c>
      <c r="D87" s="54">
        <f t="shared" si="16"/>
        <v>9.1324542694510222E-2</v>
      </c>
      <c r="E87">
        <f t="shared" si="17"/>
        <v>-7.5000000000000391</v>
      </c>
      <c r="F87" s="27">
        <f t="shared" si="18"/>
        <v>5.8427668311893223E-3</v>
      </c>
    </row>
    <row r="88" spans="2:6">
      <c r="B88" s="7">
        <f t="shared" si="14"/>
        <v>-1.2000000000000064</v>
      </c>
      <c r="C88" s="55">
        <f t="shared" si="15"/>
        <v>-2.4000000000000128</v>
      </c>
      <c r="D88" s="54">
        <f t="shared" si="16"/>
        <v>9.7093027491605727E-2</v>
      </c>
      <c r="E88">
        <f t="shared" si="17"/>
        <v>-7.2000000000000384</v>
      </c>
      <c r="F88" s="27">
        <f t="shared" si="18"/>
        <v>7.4648434316140705E-3</v>
      </c>
    </row>
    <row r="89" spans="2:6">
      <c r="B89" s="7">
        <f t="shared" si="14"/>
        <v>-1.1500000000000064</v>
      </c>
      <c r="C89" s="55">
        <f t="shared" si="15"/>
        <v>-2.3000000000000127</v>
      </c>
      <c r="D89" s="54">
        <f t="shared" si="16"/>
        <v>0.1029681343599866</v>
      </c>
      <c r="E89">
        <f t="shared" si="17"/>
        <v>-6.9000000000000377</v>
      </c>
      <c r="F89" s="27">
        <f t="shared" si="18"/>
        <v>9.4423459138667839E-3</v>
      </c>
    </row>
    <row r="90" spans="2:6">
      <c r="B90" s="7">
        <f t="shared" si="14"/>
        <v>-1.1000000000000063</v>
      </c>
      <c r="C90" s="55">
        <f t="shared" si="15"/>
        <v>-2.2000000000000126</v>
      </c>
      <c r="D90" s="54">
        <f t="shared" si="16"/>
        <v>0.1089260885162745</v>
      </c>
      <c r="E90">
        <f t="shared" si="17"/>
        <v>-6.6000000000000378</v>
      </c>
      <c r="F90" s="27">
        <f t="shared" si="18"/>
        <v>1.1824864282076814E-2</v>
      </c>
    </row>
    <row r="91" spans="2:6">
      <c r="B91" s="7">
        <f t="shared" si="14"/>
        <v>-1.0500000000000063</v>
      </c>
      <c r="C91" s="55">
        <f t="shared" si="15"/>
        <v>-2.1000000000000125</v>
      </c>
      <c r="D91" s="54">
        <f t="shared" si="16"/>
        <v>0.11494107034211573</v>
      </c>
      <c r="E91">
        <f t="shared" si="17"/>
        <v>-6.300000000000038</v>
      </c>
      <c r="F91" s="27">
        <f t="shared" si="18"/>
        <v>1.4661198660142006E-2</v>
      </c>
    </row>
    <row r="92" spans="2:6">
      <c r="B92" s="7">
        <f t="shared" si="14"/>
        <v>-1.0000000000000062</v>
      </c>
      <c r="C92" s="55">
        <f t="shared" si="15"/>
        <v>-2.0000000000000124</v>
      </c>
      <c r="D92" s="54">
        <f t="shared" si="16"/>
        <v>0.12098536225957092</v>
      </c>
      <c r="E92">
        <f t="shared" si="17"/>
        <v>-6.0000000000000373</v>
      </c>
      <c r="F92" s="27">
        <f t="shared" si="18"/>
        <v>1.7996988837728902E-2</v>
      </c>
    </row>
    <row r="93" spans="2:6">
      <c r="B93" s="7">
        <f t="shared" si="14"/>
        <v>-0.95000000000000617</v>
      </c>
      <c r="C93" s="55">
        <f t="shared" si="15"/>
        <v>-1.9000000000000123</v>
      </c>
      <c r="D93" s="54">
        <f t="shared" si="16"/>
        <v>0.12702952823459374</v>
      </c>
      <c r="E93">
        <f t="shared" si="17"/>
        <v>-5.7000000000000366</v>
      </c>
      <c r="F93" s="27">
        <f t="shared" si="18"/>
        <v>2.1871938258225022E-2</v>
      </c>
    </row>
    <row r="94" spans="2:6">
      <c r="B94" s="7">
        <f t="shared" si="14"/>
        <v>-0.90000000000000613</v>
      </c>
      <c r="C94" s="55">
        <f t="shared" si="15"/>
        <v>-1.8000000000000123</v>
      </c>
      <c r="D94" s="54">
        <f t="shared" si="16"/>
        <v>0.13304262494937666</v>
      </c>
      <c r="E94">
        <f t="shared" si="17"/>
        <v>-5.4000000000000368</v>
      </c>
      <c r="F94" s="27">
        <f t="shared" si="18"/>
        <v>2.63167194336308E-2</v>
      </c>
    </row>
    <row r="95" spans="2:6">
      <c r="B95" s="7">
        <f t="shared" si="14"/>
        <v>-0.85000000000000608</v>
      </c>
      <c r="C95" s="55">
        <f t="shared" si="15"/>
        <v>-1.7000000000000122</v>
      </c>
      <c r="D95" s="54">
        <f t="shared" si="16"/>
        <v>0.13899244306549749</v>
      </c>
      <c r="E95">
        <f t="shared" si="17"/>
        <v>-5.1000000000000369</v>
      </c>
      <c r="F95" s="27">
        <f t="shared" si="18"/>
        <v>3.1349692458961652E-2</v>
      </c>
    </row>
    <row r="96" spans="2:6">
      <c r="B96" s="7">
        <f t="shared" si="14"/>
        <v>-0.80000000000000604</v>
      </c>
      <c r="C96" s="55">
        <f t="shared" ref="C96:C127" si="19">mue_1+B96*sigma_1</f>
        <v>-1.6000000000000121</v>
      </c>
      <c r="D96" s="54">
        <f t="shared" ref="D96:D127" si="20">NORMDIST(C96,mue_1,sigma_1,0)</f>
        <v>0.14484577638074064</v>
      </c>
      <c r="E96">
        <f t="shared" ref="E96:E127" si="21">mue_2+C96*sigma_2</f>
        <v>-4.8000000000000362</v>
      </c>
      <c r="F96" s="27">
        <f t="shared" ref="F96:F127" si="22">NORMDIST(E96,mue_2,sigma_2,0)</f>
        <v>3.69736115598178E-2</v>
      </c>
    </row>
    <row r="97" spans="2:6">
      <c r="B97" s="7">
        <f t="shared" si="14"/>
        <v>-0.750000000000006</v>
      </c>
      <c r="C97" s="55">
        <f t="shared" si="19"/>
        <v>-1.500000000000012</v>
      </c>
      <c r="D97" s="54">
        <f t="shared" si="20"/>
        <v>0.15056871607740149</v>
      </c>
      <c r="E97">
        <f t="shared" si="21"/>
        <v>-4.5000000000000355</v>
      </c>
      <c r="F97" s="27">
        <f t="shared" si="22"/>
        <v>4.3172531888629809E-2</v>
      </c>
    </row>
    <row r="98" spans="2:6">
      <c r="B98" s="7">
        <f t="shared" ref="B98:B161" si="23">B97+0.05</f>
        <v>-0.70000000000000595</v>
      </c>
      <c r="C98" s="55">
        <f t="shared" si="19"/>
        <v>-1.4000000000000119</v>
      </c>
      <c r="D98" s="54">
        <f t="shared" si="20"/>
        <v>0.15612696668337997</v>
      </c>
      <c r="E98">
        <f t="shared" si="21"/>
        <v>-4.2000000000000357</v>
      </c>
      <c r="F98" s="27">
        <f t="shared" si="22"/>
        <v>4.9909155211914122E-2</v>
      </c>
    </row>
    <row r="99" spans="2:6">
      <c r="B99" s="7">
        <f t="shared" si="23"/>
        <v>-0.65000000000000591</v>
      </c>
      <c r="C99" s="55">
        <f t="shared" si="19"/>
        <v>-1.3000000000000118</v>
      </c>
      <c r="D99" s="54">
        <f t="shared" si="20"/>
        <v>0.16148617983395649</v>
      </c>
      <c r="E99">
        <f t="shared" si="21"/>
        <v>-3.9000000000000354</v>
      </c>
      <c r="F99" s="27">
        <f t="shared" si="22"/>
        <v>5.7122864015934915E-2</v>
      </c>
    </row>
    <row r="100" spans="2:6">
      <c r="B100" s="7">
        <f t="shared" si="23"/>
        <v>-0.60000000000000586</v>
      </c>
      <c r="C100" s="55">
        <f t="shared" si="19"/>
        <v>-1.2000000000000117</v>
      </c>
      <c r="D100" s="54">
        <f t="shared" si="20"/>
        <v>0.16661230144589922</v>
      </c>
      <c r="E100">
        <f t="shared" si="21"/>
        <v>-3.6000000000000352</v>
      </c>
      <c r="F100" s="27">
        <f t="shared" si="22"/>
        <v>6.4728684994403388E-2</v>
      </c>
    </row>
    <row r="101" spans="2:6">
      <c r="B101" s="7">
        <f t="shared" si="23"/>
        <v>-0.55000000000000582</v>
      </c>
      <c r="C101" s="55">
        <f t="shared" si="19"/>
        <v>-1.1000000000000116</v>
      </c>
      <c r="D101" s="54">
        <f t="shared" si="20"/>
        <v>0.1714719275096914</v>
      </c>
      <c r="E101">
        <f t="shared" si="21"/>
        <v>-3.3000000000000349</v>
      </c>
      <c r="F101" s="27">
        <f t="shared" si="22"/>
        <v>7.2617392344182574E-2</v>
      </c>
    </row>
    <row r="102" spans="2:6">
      <c r="B102" s="7">
        <f t="shared" si="23"/>
        <v>-0.50000000000000577</v>
      </c>
      <c r="C102" s="55">
        <f t="shared" si="19"/>
        <v>-1.0000000000000115</v>
      </c>
      <c r="D102" s="54">
        <f t="shared" si="20"/>
        <v>0.17603266338214923</v>
      </c>
      <c r="E102">
        <f t="shared" si="21"/>
        <v>-3.0000000000000346</v>
      </c>
      <c r="F102" s="27">
        <f t="shared" si="22"/>
        <v>8.0656908173046854E-2</v>
      </c>
    </row>
    <row r="103" spans="2:6">
      <c r="B103" s="7">
        <f t="shared" si="23"/>
        <v>-0.45000000000000578</v>
      </c>
      <c r="C103" s="55">
        <f t="shared" si="19"/>
        <v>-0.90000000000001157</v>
      </c>
      <c r="D103" s="54">
        <f t="shared" si="20"/>
        <v>0.18026348123082347</v>
      </c>
      <c r="E103">
        <f t="shared" si="21"/>
        <v>-2.7000000000000348</v>
      </c>
      <c r="F103" s="27">
        <f t="shared" si="22"/>
        <v>8.8695083299584004E-2</v>
      </c>
    </row>
    <row r="104" spans="2:6">
      <c r="B104" s="7">
        <f t="shared" si="23"/>
        <v>-0.4000000000000058</v>
      </c>
      <c r="C104" s="55">
        <f t="shared" si="19"/>
        <v>-0.80000000000001159</v>
      </c>
      <c r="D104" s="54">
        <f t="shared" si="20"/>
        <v>0.18413507015166122</v>
      </c>
      <c r="E104">
        <f t="shared" si="21"/>
        <v>-2.400000000000035</v>
      </c>
      <c r="F104" s="27">
        <f t="shared" si="22"/>
        <v>9.6563850920493341E-2</v>
      </c>
    </row>
    <row r="105" spans="2:6">
      <c r="B105" s="7">
        <f t="shared" si="23"/>
        <v>-0.35000000000000581</v>
      </c>
      <c r="C105" s="55">
        <f t="shared" si="19"/>
        <v>-0.70000000000001161</v>
      </c>
      <c r="D105" s="54">
        <f t="shared" si="20"/>
        <v>0.18762017345846854</v>
      </c>
      <c r="E105">
        <f t="shared" si="21"/>
        <v>-2.1000000000000347</v>
      </c>
      <c r="F105" s="27">
        <f t="shared" si="22"/>
        <v>0.10408464445558624</v>
      </c>
    </row>
    <row r="106" spans="2:6">
      <c r="B106" s="7">
        <f t="shared" si="23"/>
        <v>-0.30000000000000582</v>
      </c>
      <c r="C106" s="55">
        <f t="shared" si="19"/>
        <v>-0.60000000000001164</v>
      </c>
      <c r="D106" s="54">
        <f t="shared" si="20"/>
        <v>0.19069390773026168</v>
      </c>
      <c r="E106">
        <f t="shared" si="21"/>
        <v>-1.8000000000000349</v>
      </c>
      <c r="F106" s="27">
        <f t="shared" si="22"/>
        <v>0.11107486763059909</v>
      </c>
    </row>
    <row r="107" spans="2:6">
      <c r="B107" s="7">
        <f t="shared" si="23"/>
        <v>-0.25000000000000583</v>
      </c>
      <c r="C107" s="55">
        <f t="shared" si="19"/>
        <v>-0.50000000000001166</v>
      </c>
      <c r="D107" s="54">
        <f t="shared" si="20"/>
        <v>0.19333405840142431</v>
      </c>
      <c r="E107">
        <f t="shared" si="21"/>
        <v>-1.5000000000000351</v>
      </c>
      <c r="F107" s="27">
        <f t="shared" si="22"/>
        <v>0.11735510892143246</v>
      </c>
    </row>
    <row r="108" spans="2:6">
      <c r="B108" s="7">
        <f t="shared" si="23"/>
        <v>-0.20000000000000584</v>
      </c>
      <c r="C108" s="55">
        <f t="shared" si="19"/>
        <v>-0.40000000000001168</v>
      </c>
      <c r="D108" s="54">
        <f t="shared" si="20"/>
        <v>0.19552134698772769</v>
      </c>
      <c r="E108">
        <f t="shared" si="21"/>
        <v>-1.200000000000035</v>
      </c>
      <c r="F108" s="27">
        <f t="shared" si="22"/>
        <v>0.1227567134344405</v>
      </c>
    </row>
    <row r="109" spans="2:6">
      <c r="B109" s="7">
        <f t="shared" si="23"/>
        <v>-0.15000000000000585</v>
      </c>
      <c r="C109" s="55">
        <f t="shared" si="19"/>
        <v>-0.3000000000000117</v>
      </c>
      <c r="D109" s="54">
        <f t="shared" si="20"/>
        <v>0.19723966545394425</v>
      </c>
      <c r="E109">
        <f t="shared" si="21"/>
        <v>-0.90000000000003511</v>
      </c>
      <c r="F109" s="27">
        <f t="shared" si="22"/>
        <v>0.12712927182017422</v>
      </c>
    </row>
    <row r="110" spans="2:6">
      <c r="B110" s="7">
        <f t="shared" si="23"/>
        <v>-0.10000000000000585</v>
      </c>
      <c r="C110" s="55">
        <f t="shared" si="19"/>
        <v>-0.2000000000000117</v>
      </c>
      <c r="D110" s="54">
        <f t="shared" si="20"/>
        <v>0.19847627373850577</v>
      </c>
      <c r="E110">
        <f t="shared" si="21"/>
        <v>-0.60000000000003506</v>
      </c>
      <c r="F110" s="27">
        <f t="shared" si="22"/>
        <v>0.13034756465848499</v>
      </c>
    </row>
    <row r="111" spans="2:6">
      <c r="B111" s="7">
        <f t="shared" si="23"/>
        <v>-5.0000000000005845E-2</v>
      </c>
      <c r="C111" s="55">
        <f t="shared" si="19"/>
        <v>-0.10000000000001169</v>
      </c>
      <c r="D111" s="54">
        <f t="shared" si="20"/>
        <v>0.19922195704738194</v>
      </c>
      <c r="E111">
        <f t="shared" si="21"/>
        <v>-0.30000000000003507</v>
      </c>
      <c r="F111" s="27">
        <f t="shared" si="22"/>
        <v>0.13231751582567042</v>
      </c>
    </row>
    <row r="112" spans="2:6">
      <c r="B112" s="7">
        <v>0</v>
      </c>
      <c r="C112" s="55">
        <f t="shared" si="19"/>
        <v>0</v>
      </c>
      <c r="D112" s="54">
        <f t="shared" si="20"/>
        <v>0.19947114020071632</v>
      </c>
      <c r="E112">
        <f t="shared" si="21"/>
        <v>0</v>
      </c>
      <c r="F112" s="27">
        <f t="shared" si="22"/>
        <v>0.13298076013381088</v>
      </c>
    </row>
    <row r="113" spans="2:6">
      <c r="B113" s="7">
        <f t="shared" si="23"/>
        <v>0.05</v>
      </c>
      <c r="C113" s="55">
        <f t="shared" si="19"/>
        <v>0.1</v>
      </c>
      <c r="D113" s="54">
        <f t="shared" si="20"/>
        <v>0.19922195704738199</v>
      </c>
      <c r="E113">
        <f t="shared" si="21"/>
        <v>0.30000000000000004</v>
      </c>
      <c r="F113" s="27">
        <f t="shared" si="22"/>
        <v>0.13231751582567058</v>
      </c>
    </row>
    <row r="114" spans="2:6">
      <c r="B114" s="7">
        <f t="shared" si="23"/>
        <v>0.1</v>
      </c>
      <c r="C114" s="55">
        <f t="shared" si="19"/>
        <v>0.2</v>
      </c>
      <c r="D114" s="54">
        <f t="shared" si="20"/>
        <v>0.19847627373850588</v>
      </c>
      <c r="E114">
        <f t="shared" si="21"/>
        <v>0.60000000000000009</v>
      </c>
      <c r="F114" s="27">
        <f t="shared" si="22"/>
        <v>0.13034756465848527</v>
      </c>
    </row>
    <row r="115" spans="2:6">
      <c r="B115" s="7">
        <f t="shared" si="23"/>
        <v>0.15000000000000002</v>
      </c>
      <c r="C115" s="55">
        <f t="shared" si="19"/>
        <v>0.30000000000000004</v>
      </c>
      <c r="D115" s="54">
        <f t="shared" si="20"/>
        <v>0.19723966545394445</v>
      </c>
      <c r="E115">
        <f t="shared" si="21"/>
        <v>0.90000000000000013</v>
      </c>
      <c r="F115" s="27">
        <f t="shared" si="22"/>
        <v>0.12712927182017467</v>
      </c>
    </row>
    <row r="116" spans="2:6">
      <c r="B116" s="7">
        <f t="shared" si="23"/>
        <v>0.2</v>
      </c>
      <c r="C116" s="55">
        <f t="shared" si="19"/>
        <v>0.4</v>
      </c>
      <c r="D116" s="54">
        <f t="shared" si="20"/>
        <v>0.19552134698772791</v>
      </c>
      <c r="E116">
        <f t="shared" si="21"/>
        <v>1.2000000000000002</v>
      </c>
      <c r="F116" s="27">
        <f t="shared" si="22"/>
        <v>0.12275671343444108</v>
      </c>
    </row>
    <row r="117" spans="2:6">
      <c r="B117" s="7">
        <f t="shared" si="23"/>
        <v>0.25</v>
      </c>
      <c r="C117" s="55">
        <f t="shared" si="19"/>
        <v>0.5</v>
      </c>
      <c r="D117" s="54">
        <f t="shared" si="20"/>
        <v>0.19333405840142459</v>
      </c>
      <c r="E117">
        <f t="shared" si="21"/>
        <v>1.5</v>
      </c>
      <c r="F117" s="27">
        <f t="shared" si="22"/>
        <v>0.11735510892143315</v>
      </c>
    </row>
    <row r="118" spans="2:6">
      <c r="B118" s="7">
        <f t="shared" si="23"/>
        <v>0.3</v>
      </c>
      <c r="C118" s="55">
        <f t="shared" si="19"/>
        <v>0.6</v>
      </c>
      <c r="D118" s="54">
        <f t="shared" si="20"/>
        <v>0.19069390773026204</v>
      </c>
      <c r="E118">
        <f t="shared" si="21"/>
        <v>1.7999999999999998</v>
      </c>
      <c r="F118" s="27">
        <f t="shared" si="22"/>
        <v>0.11107486763059987</v>
      </c>
    </row>
    <row r="119" spans="2:6">
      <c r="B119" s="7">
        <f t="shared" si="23"/>
        <v>0.35</v>
      </c>
      <c r="C119" s="55">
        <f t="shared" si="19"/>
        <v>0.7</v>
      </c>
      <c r="D119" s="54">
        <f t="shared" si="20"/>
        <v>0.18762017345846893</v>
      </c>
      <c r="E119">
        <f t="shared" si="21"/>
        <v>2.0999999999999996</v>
      </c>
      <c r="F119" s="27">
        <f t="shared" si="22"/>
        <v>0.10408464445558709</v>
      </c>
    </row>
    <row r="120" spans="2:6">
      <c r="B120" s="7">
        <f t="shared" si="23"/>
        <v>0.39999999999999997</v>
      </c>
      <c r="C120" s="55">
        <f t="shared" si="19"/>
        <v>0.79999999999999993</v>
      </c>
      <c r="D120" s="54">
        <f t="shared" si="20"/>
        <v>0.18413507015166164</v>
      </c>
      <c r="E120">
        <f t="shared" si="21"/>
        <v>2.4</v>
      </c>
      <c r="F120" s="27">
        <f t="shared" si="22"/>
        <v>9.6563850920494243E-2</v>
      </c>
    </row>
    <row r="121" spans="2:6">
      <c r="B121" s="7">
        <f t="shared" si="23"/>
        <v>0.44999999999999996</v>
      </c>
      <c r="C121" s="55">
        <f t="shared" si="19"/>
        <v>0.89999999999999991</v>
      </c>
      <c r="D121" s="54">
        <f t="shared" si="20"/>
        <v>0.18026348123082395</v>
      </c>
      <c r="E121">
        <f t="shared" si="21"/>
        <v>2.6999999999999997</v>
      </c>
      <c r="F121" s="27">
        <f t="shared" si="22"/>
        <v>8.8695083299584948E-2</v>
      </c>
    </row>
    <row r="122" spans="2:6">
      <c r="B122" s="7">
        <f t="shared" si="23"/>
        <v>0.49999999999999994</v>
      </c>
      <c r="C122" s="55">
        <f t="shared" si="19"/>
        <v>0.99999999999999989</v>
      </c>
      <c r="D122" s="54">
        <f t="shared" si="20"/>
        <v>0.17603266338214973</v>
      </c>
      <c r="E122">
        <f t="shared" si="21"/>
        <v>2.9999999999999996</v>
      </c>
      <c r="F122" s="27">
        <f t="shared" si="22"/>
        <v>8.0656908173047798E-2</v>
      </c>
    </row>
    <row r="123" spans="2:6">
      <c r="B123" s="7">
        <f t="shared" si="23"/>
        <v>0.54999999999999993</v>
      </c>
      <c r="C123" s="55">
        <f t="shared" si="19"/>
        <v>1.0999999999999999</v>
      </c>
      <c r="D123" s="54">
        <f t="shared" si="20"/>
        <v>0.17147192750969195</v>
      </c>
      <c r="E123">
        <f t="shared" si="21"/>
        <v>3.3</v>
      </c>
      <c r="F123" s="27">
        <f t="shared" si="22"/>
        <v>7.2617392344183504E-2</v>
      </c>
    </row>
    <row r="124" spans="2:6">
      <c r="B124" s="7">
        <f t="shared" si="23"/>
        <v>0.6</v>
      </c>
      <c r="C124" s="55">
        <f t="shared" si="19"/>
        <v>1.2</v>
      </c>
      <c r="D124" s="54">
        <f t="shared" si="20"/>
        <v>0.16661230144589981</v>
      </c>
      <c r="E124">
        <f t="shared" si="21"/>
        <v>3.5999999999999996</v>
      </c>
      <c r="F124" s="27">
        <f t="shared" si="22"/>
        <v>6.4728684994404317E-2</v>
      </c>
    </row>
    <row r="125" spans="2:6">
      <c r="B125" s="7">
        <f t="shared" si="23"/>
        <v>0.65</v>
      </c>
      <c r="C125" s="55">
        <f t="shared" si="19"/>
        <v>1.3</v>
      </c>
      <c r="D125" s="54">
        <f t="shared" si="20"/>
        <v>0.16148617983395713</v>
      </c>
      <c r="E125">
        <f t="shared" si="21"/>
        <v>3.9000000000000004</v>
      </c>
      <c r="F125" s="27">
        <f t="shared" si="22"/>
        <v>5.7122864015935769E-2</v>
      </c>
    </row>
    <row r="126" spans="2:6">
      <c r="B126" s="7">
        <f t="shared" si="23"/>
        <v>0.70000000000000007</v>
      </c>
      <c r="C126" s="55">
        <f t="shared" si="19"/>
        <v>1.4000000000000001</v>
      </c>
      <c r="D126" s="54">
        <f t="shared" si="20"/>
        <v>0.15612696668338061</v>
      </c>
      <c r="E126">
        <f t="shared" si="21"/>
        <v>4.2</v>
      </c>
      <c r="F126" s="27">
        <f t="shared" si="22"/>
        <v>4.9909155211914955E-2</v>
      </c>
    </row>
    <row r="127" spans="2:6">
      <c r="B127" s="7">
        <f t="shared" si="23"/>
        <v>0.75000000000000011</v>
      </c>
      <c r="C127" s="55">
        <f t="shared" si="19"/>
        <v>1.5000000000000002</v>
      </c>
      <c r="D127" s="54">
        <f t="shared" si="20"/>
        <v>0.15056871607740216</v>
      </c>
      <c r="E127">
        <f t="shared" si="21"/>
        <v>4.5000000000000009</v>
      </c>
      <c r="F127" s="27">
        <f t="shared" si="22"/>
        <v>4.3172531888630551E-2</v>
      </c>
    </row>
    <row r="128" spans="2:6">
      <c r="B128" s="7">
        <f t="shared" si="23"/>
        <v>0.80000000000000016</v>
      </c>
      <c r="C128" s="55">
        <f t="shared" ref="C128:C159" si="24">mue_1+B128*sigma_1</f>
        <v>1.6000000000000003</v>
      </c>
      <c r="D128" s="54">
        <f t="shared" ref="D128:D159" si="25">NORMDIST(C128,mue_1,sigma_1,0)</f>
        <v>0.14484577638074134</v>
      </c>
      <c r="E128">
        <f t="shared" ref="E128:E159" si="26">mue_2+C128*sigma_2</f>
        <v>4.8000000000000007</v>
      </c>
      <c r="F128" s="27">
        <f t="shared" ref="F128:F159" si="27">NORMDIST(E128,mue_2,sigma_2,0)</f>
        <v>3.6973611559818507E-2</v>
      </c>
    </row>
    <row r="129" spans="2:6">
      <c r="B129" s="7">
        <f t="shared" si="23"/>
        <v>0.8500000000000002</v>
      </c>
      <c r="C129" s="55">
        <f t="shared" si="24"/>
        <v>1.7000000000000004</v>
      </c>
      <c r="D129" s="54">
        <f t="shared" si="25"/>
        <v>0.13899244306549821</v>
      </c>
      <c r="E129">
        <f t="shared" si="26"/>
        <v>5.1000000000000014</v>
      </c>
      <c r="F129" s="27">
        <f t="shared" si="27"/>
        <v>3.1349692458962276E-2</v>
      </c>
    </row>
    <row r="130" spans="2:6">
      <c r="B130" s="7">
        <f t="shared" si="23"/>
        <v>0.90000000000000024</v>
      </c>
      <c r="C130" s="55">
        <f t="shared" si="24"/>
        <v>1.8000000000000005</v>
      </c>
      <c r="D130" s="54">
        <f t="shared" si="25"/>
        <v>0.13304262494937738</v>
      </c>
      <c r="E130">
        <f t="shared" si="26"/>
        <v>5.4000000000000012</v>
      </c>
      <c r="F130" s="27">
        <f t="shared" si="27"/>
        <v>2.6316719433631362E-2</v>
      </c>
    </row>
    <row r="131" spans="2:6">
      <c r="B131" s="7">
        <f t="shared" si="23"/>
        <v>0.95000000000000029</v>
      </c>
      <c r="C131" s="55">
        <f t="shared" si="24"/>
        <v>1.9000000000000006</v>
      </c>
      <c r="D131" s="54">
        <f t="shared" si="25"/>
        <v>0.12702952823459446</v>
      </c>
      <c r="E131">
        <f t="shared" si="26"/>
        <v>5.700000000000002</v>
      </c>
      <c r="F131" s="27">
        <f t="shared" si="27"/>
        <v>2.1871938258225501E-2</v>
      </c>
    </row>
    <row r="132" spans="2:6">
      <c r="B132" s="7">
        <f t="shared" si="23"/>
        <v>1.0000000000000002</v>
      </c>
      <c r="C132" s="55">
        <f t="shared" si="24"/>
        <v>2.0000000000000004</v>
      </c>
      <c r="D132" s="54">
        <f t="shared" si="25"/>
        <v>0.12098536225957164</v>
      </c>
      <c r="E132">
        <f t="shared" si="26"/>
        <v>6.0000000000000018</v>
      </c>
      <c r="F132" s="27">
        <f t="shared" si="27"/>
        <v>1.7996988837729325E-2</v>
      </c>
    </row>
    <row r="133" spans="2:6">
      <c r="B133" s="7">
        <f t="shared" si="23"/>
        <v>1.0500000000000003</v>
      </c>
      <c r="C133" s="55">
        <f t="shared" si="24"/>
        <v>2.1000000000000005</v>
      </c>
      <c r="D133" s="54">
        <f t="shared" si="25"/>
        <v>0.11494107034211647</v>
      </c>
      <c r="E133">
        <f t="shared" si="26"/>
        <v>6.3000000000000016</v>
      </c>
      <c r="F133" s="27">
        <f t="shared" si="27"/>
        <v>1.4661198660142382E-2</v>
      </c>
    </row>
    <row r="134" spans="2:6">
      <c r="B134" s="7">
        <f t="shared" si="23"/>
        <v>1.1000000000000003</v>
      </c>
      <c r="C134" s="55">
        <f t="shared" si="24"/>
        <v>2.2000000000000006</v>
      </c>
      <c r="D134" s="54">
        <f t="shared" si="25"/>
        <v>0.10892608851627524</v>
      </c>
      <c r="E134">
        <f t="shared" si="26"/>
        <v>6.6000000000000014</v>
      </c>
      <c r="F134" s="27">
        <f t="shared" si="27"/>
        <v>1.1824864282077133E-2</v>
      </c>
    </row>
    <row r="135" spans="2:6">
      <c r="B135" s="7">
        <f t="shared" si="23"/>
        <v>1.1500000000000004</v>
      </c>
      <c r="C135" s="55">
        <f t="shared" si="24"/>
        <v>2.3000000000000007</v>
      </c>
      <c r="D135" s="54">
        <f t="shared" si="25"/>
        <v>0.10296813435998731</v>
      </c>
      <c r="E135">
        <f t="shared" si="26"/>
        <v>6.9000000000000021</v>
      </c>
      <c r="F135" s="27">
        <f t="shared" si="27"/>
        <v>9.4423459138670441E-3</v>
      </c>
    </row>
    <row r="136" spans="2:6">
      <c r="B136" s="7">
        <f t="shared" si="23"/>
        <v>1.2000000000000004</v>
      </c>
      <c r="C136" s="55">
        <f t="shared" si="24"/>
        <v>2.4000000000000008</v>
      </c>
      <c r="D136" s="54">
        <f t="shared" si="25"/>
        <v>9.7093027491606421E-2</v>
      </c>
      <c r="E136">
        <f t="shared" si="26"/>
        <v>7.2000000000000028</v>
      </c>
      <c r="F136" s="27">
        <f t="shared" si="27"/>
        <v>7.4648434316142822E-3</v>
      </c>
    </row>
    <row r="137" spans="2:6">
      <c r="B137" s="7">
        <f t="shared" si="23"/>
        <v>1.2500000000000004</v>
      </c>
      <c r="C137" s="55">
        <f t="shared" si="24"/>
        <v>2.5000000000000009</v>
      </c>
      <c r="D137" s="54">
        <f t="shared" si="25"/>
        <v>9.1324542694510888E-2</v>
      </c>
      <c r="E137">
        <f t="shared" si="26"/>
        <v>7.5000000000000027</v>
      </c>
      <c r="F137" s="27">
        <f t="shared" si="27"/>
        <v>5.8427668311894993E-3</v>
      </c>
    </row>
    <row r="138" spans="2:6">
      <c r="B138" s="7">
        <f t="shared" si="23"/>
        <v>1.3000000000000005</v>
      </c>
      <c r="C138" s="55">
        <f t="shared" si="24"/>
        <v>2.600000000000001</v>
      </c>
      <c r="D138" s="54">
        <f t="shared" si="25"/>
        <v>8.5684296023903622E-2</v>
      </c>
      <c r="E138">
        <f t="shared" si="26"/>
        <v>7.8000000000000025</v>
      </c>
      <c r="F138" s="27">
        <f t="shared" si="27"/>
        <v>4.5276564112285284E-3</v>
      </c>
    </row>
    <row r="139" spans="2:6">
      <c r="B139" s="7">
        <f t="shared" si="23"/>
        <v>1.3500000000000005</v>
      </c>
      <c r="C139" s="55">
        <f t="shared" si="24"/>
        <v>2.7000000000000011</v>
      </c>
      <c r="D139" s="54">
        <f t="shared" si="25"/>
        <v>8.0191663670959742E-2</v>
      </c>
      <c r="E139">
        <f t="shared" si="26"/>
        <v>8.1000000000000032</v>
      </c>
      <c r="F139" s="27">
        <f t="shared" si="27"/>
        <v>3.4736449381408538E-3</v>
      </c>
    </row>
    <row r="140" spans="2:6">
      <c r="B140" s="7">
        <f t="shared" si="23"/>
        <v>1.4000000000000006</v>
      </c>
      <c r="C140" s="55">
        <f t="shared" si="24"/>
        <v>2.8000000000000012</v>
      </c>
      <c r="D140" s="54">
        <f t="shared" si="25"/>
        <v>7.4863732817872355E-2</v>
      </c>
      <c r="E140">
        <f t="shared" si="26"/>
        <v>8.4000000000000039</v>
      </c>
      <c r="F140" s="27">
        <f t="shared" si="27"/>
        <v>2.6384838609933114E-3</v>
      </c>
    </row>
    <row r="141" spans="2:6">
      <c r="B141" s="7">
        <f t="shared" si="23"/>
        <v>1.4500000000000006</v>
      </c>
      <c r="C141" s="55">
        <f t="shared" si="24"/>
        <v>2.9000000000000012</v>
      </c>
      <c r="D141" s="54">
        <f t="shared" si="25"/>
        <v>6.9715283222680058E-2</v>
      </c>
      <c r="E141">
        <f t="shared" si="26"/>
        <v>8.7000000000000028</v>
      </c>
      <c r="F141" s="27">
        <f t="shared" si="27"/>
        <v>1.9841774732586126E-3</v>
      </c>
    </row>
    <row r="142" spans="2:6">
      <c r="B142" s="7">
        <f t="shared" si="23"/>
        <v>1.5000000000000007</v>
      </c>
      <c r="C142" s="55">
        <f t="shared" si="24"/>
        <v>3.0000000000000013</v>
      </c>
      <c r="D142" s="54">
        <f t="shared" si="25"/>
        <v>6.4758797832945802E-2</v>
      </c>
      <c r="E142">
        <f t="shared" si="26"/>
        <v>9.0000000000000036</v>
      </c>
      <c r="F142" s="27">
        <f t="shared" si="27"/>
        <v>1.4772828039793303E-3</v>
      </c>
    </row>
    <row r="143" spans="2:6">
      <c r="B143" s="7">
        <f t="shared" si="23"/>
        <v>1.5500000000000007</v>
      </c>
      <c r="C143" s="55">
        <f t="shared" si="24"/>
        <v>3.1000000000000014</v>
      </c>
      <c r="D143" s="54">
        <f t="shared" si="25"/>
        <v>6.000450034849273E-2</v>
      </c>
      <c r="E143">
        <f t="shared" si="26"/>
        <v>9.3000000000000043</v>
      </c>
      <c r="F143" s="27">
        <f t="shared" si="27"/>
        <v>1.0889396853999689E-3</v>
      </c>
    </row>
    <row r="144" spans="2:6">
      <c r="B144" s="7">
        <f t="shared" si="23"/>
        <v>1.6000000000000008</v>
      </c>
      <c r="C144" s="55">
        <f t="shared" si="24"/>
        <v>3.2000000000000015</v>
      </c>
      <c r="D144" s="54">
        <f t="shared" si="25"/>
        <v>5.5460417339727709E-2</v>
      </c>
      <c r="E144">
        <f t="shared" si="26"/>
        <v>9.600000000000005</v>
      </c>
      <c r="F144" s="27">
        <f t="shared" si="27"/>
        <v>7.9469606715494307E-4</v>
      </c>
    </row>
    <row r="145" spans="2:6">
      <c r="B145" s="7">
        <f t="shared" si="23"/>
        <v>1.6500000000000008</v>
      </c>
      <c r="C145" s="55">
        <f t="shared" si="24"/>
        <v>3.3000000000000016</v>
      </c>
      <c r="D145" s="54">
        <f t="shared" si="25"/>
        <v>5.1132462281988929E-2</v>
      </c>
      <c r="E145">
        <f t="shared" si="26"/>
        <v>9.9000000000000057</v>
      </c>
      <c r="F145" s="27">
        <f t="shared" si="27"/>
        <v>5.7418964635122288E-4</v>
      </c>
    </row>
    <row r="146" spans="2:6">
      <c r="B146" s="7">
        <f t="shared" si="23"/>
        <v>1.7000000000000008</v>
      </c>
      <c r="C146" s="55">
        <f t="shared" si="24"/>
        <v>3.4000000000000017</v>
      </c>
      <c r="D146" s="54">
        <f t="shared" si="25"/>
        <v>4.7024538688443397E-2</v>
      </c>
      <c r="E146">
        <f t="shared" si="26"/>
        <v>10.200000000000005</v>
      </c>
      <c r="F146" s="27">
        <f t="shared" si="27"/>
        <v>4.1073972282433768E-4</v>
      </c>
    </row>
    <row r="147" spans="2:6">
      <c r="B147" s="7">
        <f t="shared" si="23"/>
        <v>1.7500000000000009</v>
      </c>
      <c r="C147" s="55">
        <f t="shared" si="24"/>
        <v>3.5000000000000018</v>
      </c>
      <c r="D147" s="54">
        <f t="shared" si="25"/>
        <v>4.3138659413255682E-2</v>
      </c>
      <c r="E147">
        <f t="shared" si="26"/>
        <v>10.500000000000005</v>
      </c>
      <c r="F147" s="27">
        <f t="shared" si="27"/>
        <v>2.9089423168191821E-4</v>
      </c>
    </row>
    <row r="148" spans="2:6">
      <c r="B148" s="7">
        <f t="shared" si="23"/>
        <v>1.8000000000000009</v>
      </c>
      <c r="C148" s="55">
        <f t="shared" si="24"/>
        <v>3.6000000000000019</v>
      </c>
      <c r="D148" s="54">
        <f t="shared" si="25"/>
        <v>3.9475079150447012E-2</v>
      </c>
      <c r="E148">
        <f t="shared" si="26"/>
        <v>10.800000000000006</v>
      </c>
      <c r="F148" s="27">
        <f t="shared" si="27"/>
        <v>2.0396731003792249E-4</v>
      </c>
    </row>
    <row r="149" spans="2:6">
      <c r="B149" s="7">
        <f t="shared" si="23"/>
        <v>1.850000000000001</v>
      </c>
      <c r="C149" s="55">
        <f t="shared" si="24"/>
        <v>3.700000000000002</v>
      </c>
      <c r="D149" s="54">
        <f t="shared" si="25"/>
        <v>3.6032437168108937E-2</v>
      </c>
      <c r="E149">
        <f t="shared" si="26"/>
        <v>11.100000000000005</v>
      </c>
      <c r="F149" s="27">
        <f t="shared" si="27"/>
        <v>1.4159342351691639E-4</v>
      </c>
    </row>
    <row r="150" spans="2:6">
      <c r="B150" s="7">
        <f t="shared" si="23"/>
        <v>1.900000000000001</v>
      </c>
      <c r="C150" s="55">
        <f t="shared" si="24"/>
        <v>3.800000000000002</v>
      </c>
      <c r="D150" s="54">
        <f t="shared" si="25"/>
        <v>3.2807907387338228E-2</v>
      </c>
      <c r="E150">
        <f t="shared" si="26"/>
        <v>11.400000000000006</v>
      </c>
      <c r="F150" s="27">
        <f t="shared" si="27"/>
        <v>9.7315641930486048E-5</v>
      </c>
    </row>
    <row r="151" spans="2:6">
      <c r="B151" s="7">
        <f t="shared" si="23"/>
        <v>1.9500000000000011</v>
      </c>
      <c r="C151" s="55">
        <f t="shared" si="24"/>
        <v>3.9000000000000021</v>
      </c>
      <c r="D151" s="54">
        <f t="shared" si="25"/>
        <v>2.9797353034407968E-2</v>
      </c>
      <c r="E151">
        <f t="shared" si="26"/>
        <v>11.700000000000006</v>
      </c>
      <c r="F151" s="27">
        <f t="shared" si="27"/>
        <v>6.6218490464256972E-5</v>
      </c>
    </row>
    <row r="152" spans="2:6">
      <c r="B152" s="7">
        <f t="shared" si="23"/>
        <v>2.0000000000000009</v>
      </c>
      <c r="C152" s="55">
        <f t="shared" si="24"/>
        <v>4.0000000000000018</v>
      </c>
      <c r="D152" s="54">
        <f t="shared" si="25"/>
        <v>2.6995483256593976E-2</v>
      </c>
      <c r="E152">
        <f t="shared" si="26"/>
        <v>12.000000000000005</v>
      </c>
      <c r="F152" s="27">
        <f t="shared" si="27"/>
        <v>4.4610075254961464E-5</v>
      </c>
    </row>
    <row r="153" spans="2:6">
      <c r="B153" s="7">
        <f t="shared" si="23"/>
        <v>2.0500000000000007</v>
      </c>
      <c r="C153" s="55">
        <f t="shared" si="24"/>
        <v>4.1000000000000014</v>
      </c>
      <c r="D153" s="54">
        <f t="shared" si="25"/>
        <v>2.4396009289591337E-2</v>
      </c>
      <c r="E153">
        <f t="shared" si="26"/>
        <v>12.300000000000004</v>
      </c>
      <c r="F153" s="27">
        <f t="shared" si="27"/>
        <v>2.975388572571076E-5</v>
      </c>
    </row>
    <row r="154" spans="2:6">
      <c r="B154" s="7">
        <f t="shared" si="23"/>
        <v>2.1000000000000005</v>
      </c>
      <c r="C154" s="55">
        <f t="shared" si="24"/>
        <v>4.2000000000000011</v>
      </c>
      <c r="D154" s="54">
        <f t="shared" si="25"/>
        <v>2.1991797990213575E-2</v>
      </c>
      <c r="E154">
        <f t="shared" si="26"/>
        <v>12.600000000000003</v>
      </c>
      <c r="F154" s="27">
        <f t="shared" si="27"/>
        <v>1.9647689252179877E-5</v>
      </c>
    </row>
    <row r="155" spans="2:6">
      <c r="B155" s="7">
        <f t="shared" si="23"/>
        <v>2.1500000000000004</v>
      </c>
      <c r="C155" s="55">
        <f t="shared" si="24"/>
        <v>4.3000000000000007</v>
      </c>
      <c r="D155" s="54">
        <f t="shared" si="25"/>
        <v>1.9775020794685093E-2</v>
      </c>
      <c r="E155">
        <f t="shared" si="26"/>
        <v>12.900000000000002</v>
      </c>
      <c r="F155" s="27">
        <f t="shared" si="27"/>
        <v>1.2845065580695662E-5</v>
      </c>
    </row>
    <row r="156" spans="2:6">
      <c r="B156" s="7">
        <f t="shared" si="23"/>
        <v>2.2000000000000002</v>
      </c>
      <c r="C156" s="55">
        <f t="shared" si="24"/>
        <v>4.4000000000000004</v>
      </c>
      <c r="D156" s="54">
        <f t="shared" si="25"/>
        <v>1.7737296423115709E-2</v>
      </c>
      <c r="E156">
        <f t="shared" si="26"/>
        <v>13.200000000000001</v>
      </c>
      <c r="F156" s="27">
        <f t="shared" si="27"/>
        <v>8.3141570966845095E-6</v>
      </c>
    </row>
    <row r="157" spans="2:6">
      <c r="B157" s="7">
        <f t="shared" si="23"/>
        <v>2.25</v>
      </c>
      <c r="C157" s="55">
        <f t="shared" si="24"/>
        <v>4.5</v>
      </c>
      <c r="D157" s="54">
        <f t="shared" si="25"/>
        <v>1.5869825917833709E-2</v>
      </c>
      <c r="E157">
        <f t="shared" si="26"/>
        <v>13.5</v>
      </c>
      <c r="F157" s="27">
        <f t="shared" si="27"/>
        <v>5.3279137023018252E-6</v>
      </c>
    </row>
    <row r="158" spans="2:6">
      <c r="B158" s="7">
        <f t="shared" si="23"/>
        <v>2.2999999999999998</v>
      </c>
      <c r="C158" s="55">
        <f t="shared" si="24"/>
        <v>4.5999999999999996</v>
      </c>
      <c r="D158" s="54">
        <f t="shared" si="25"/>
        <v>1.4163518870800591E-2</v>
      </c>
      <c r="E158">
        <f t="shared" si="26"/>
        <v>13.799999999999999</v>
      </c>
      <c r="F158" s="27">
        <f t="shared" si="27"/>
        <v>3.3802840218289192E-6</v>
      </c>
    </row>
    <row r="159" spans="2:6">
      <c r="B159" s="7">
        <f t="shared" si="23"/>
        <v>2.3499999999999996</v>
      </c>
      <c r="C159" s="55">
        <f t="shared" si="24"/>
        <v>4.6999999999999993</v>
      </c>
      <c r="D159" s="54">
        <f t="shared" si="25"/>
        <v>1.2609109957597207E-2</v>
      </c>
      <c r="E159">
        <f t="shared" si="26"/>
        <v>14.099999999999998</v>
      </c>
      <c r="F159" s="27">
        <f t="shared" si="27"/>
        <v>2.1232750596223743E-6</v>
      </c>
    </row>
    <row r="160" spans="2:6">
      <c r="B160" s="7">
        <f t="shared" si="23"/>
        <v>2.3999999999999995</v>
      </c>
      <c r="C160" s="55">
        <f t="shared" ref="C160:C191" si="28">mue_1+B160*sigma_1</f>
        <v>4.7999999999999989</v>
      </c>
      <c r="D160" s="54">
        <f t="shared" ref="D160:D191" si="29">NORMDIST(C160,mue_1,sigma_1,0)</f>
        <v>1.1197265147421464E-2</v>
      </c>
      <c r="E160">
        <f t="shared" ref="E160:E192" si="30">mue_2+C160*sigma_2</f>
        <v>14.399999999999997</v>
      </c>
      <c r="F160" s="27">
        <f t="shared" ref="F160:F191" si="31">NORMDIST(E160,mue_2,sigma_2,0)</f>
        <v>1.3204330303440318E-6</v>
      </c>
    </row>
    <row r="161" spans="2:6">
      <c r="B161" s="7">
        <f t="shared" si="23"/>
        <v>2.4499999999999993</v>
      </c>
      <c r="C161" s="55">
        <f t="shared" si="28"/>
        <v>4.8999999999999986</v>
      </c>
      <c r="D161" s="54">
        <f t="shared" si="29"/>
        <v>9.9186771958976773E-3</v>
      </c>
      <c r="E161">
        <f t="shared" si="30"/>
        <v>14.699999999999996</v>
      </c>
      <c r="F161" s="27">
        <f t="shared" si="31"/>
        <v>8.129869152977926E-7</v>
      </c>
    </row>
    <row r="162" spans="2:6">
      <c r="B162" s="7">
        <f t="shared" ref="B162:B192" si="32">B161+0.05</f>
        <v>2.4999999999999991</v>
      </c>
      <c r="C162" s="55">
        <f t="shared" si="28"/>
        <v>4.9999999999999982</v>
      </c>
      <c r="D162" s="54">
        <f t="shared" si="29"/>
        <v>8.7641502467842875E-3</v>
      </c>
      <c r="E162">
        <f t="shared" si="30"/>
        <v>14.999999999999995</v>
      </c>
      <c r="F162" s="27">
        <f t="shared" si="31"/>
        <v>4.9557317157810353E-7</v>
      </c>
    </row>
    <row r="163" spans="2:6">
      <c r="B163" s="7">
        <f t="shared" si="32"/>
        <v>2.5499999999999989</v>
      </c>
      <c r="C163" s="55">
        <f t="shared" si="28"/>
        <v>5.0999999999999979</v>
      </c>
      <c r="D163" s="54">
        <f t="shared" si="29"/>
        <v>7.7246735671976062E-3</v>
      </c>
      <c r="E163">
        <f t="shared" si="30"/>
        <v>15.299999999999994</v>
      </c>
      <c r="F163" s="27">
        <f t="shared" si="31"/>
        <v>2.9908117207944774E-7</v>
      </c>
    </row>
    <row r="164" spans="2:6">
      <c r="B164" s="7">
        <f t="shared" si="32"/>
        <v>2.5999999999999988</v>
      </c>
      <c r="C164" s="55">
        <f t="shared" si="28"/>
        <v>5.1999999999999975</v>
      </c>
      <c r="D164" s="54">
        <f t="shared" si="29"/>
        <v>6.7914846168428298E-3</v>
      </c>
      <c r="E164">
        <f t="shared" si="30"/>
        <v>15.599999999999993</v>
      </c>
      <c r="F164" s="27">
        <f t="shared" si="31"/>
        <v>1.7870117815658965E-7</v>
      </c>
    </row>
    <row r="165" spans="2:6">
      <c r="B165" s="7">
        <f t="shared" si="32"/>
        <v>2.6499999999999986</v>
      </c>
      <c r="C165" s="55">
        <f t="shared" si="28"/>
        <v>5.2999999999999972</v>
      </c>
      <c r="D165" s="54">
        <f t="shared" si="29"/>
        <v>5.9561218038026104E-3</v>
      </c>
      <c r="E165">
        <f t="shared" si="30"/>
        <v>15.899999999999991</v>
      </c>
      <c r="F165" s="27">
        <f t="shared" si="31"/>
        <v>1.0571164055720086E-7</v>
      </c>
    </row>
    <row r="166" spans="2:6">
      <c r="B166" s="7">
        <f t="shared" si="32"/>
        <v>2.6999999999999984</v>
      </c>
      <c r="C166" s="55">
        <f t="shared" si="28"/>
        <v>5.3999999999999968</v>
      </c>
      <c r="D166" s="54">
        <f t="shared" si="29"/>
        <v>5.2104674072113201E-3</v>
      </c>
      <c r="E166">
        <f t="shared" si="30"/>
        <v>16.199999999999989</v>
      </c>
      <c r="F166" s="27">
        <f t="shared" si="31"/>
        <v>6.1912061485177642E-8</v>
      </c>
    </row>
    <row r="167" spans="2:6">
      <c r="B167" s="7">
        <f t="shared" si="32"/>
        <v>2.7499999999999982</v>
      </c>
      <c r="C167" s="55">
        <f t="shared" si="28"/>
        <v>5.4999999999999964</v>
      </c>
      <c r="D167" s="54">
        <f t="shared" si="29"/>
        <v>4.5467812507955481E-3</v>
      </c>
      <c r="E167">
        <f t="shared" si="30"/>
        <v>16.499999999999989</v>
      </c>
      <c r="F167" s="27">
        <f t="shared" si="31"/>
        <v>3.5899200141811619E-8</v>
      </c>
    </row>
    <row r="168" spans="2:6">
      <c r="B168" s="7">
        <f t="shared" si="32"/>
        <v>2.799999999999998</v>
      </c>
      <c r="C168" s="55">
        <f t="shared" si="28"/>
        <v>5.5999999999999961</v>
      </c>
      <c r="D168" s="54">
        <f t="shared" si="29"/>
        <v>3.9577257914900034E-3</v>
      </c>
      <c r="E168">
        <f t="shared" si="30"/>
        <v>16.79999999999999</v>
      </c>
      <c r="F168" s="27">
        <f t="shared" si="31"/>
        <v>2.0608735000553183E-8</v>
      </c>
    </row>
    <row r="169" spans="2:6">
      <c r="B169" s="7">
        <f t="shared" si="32"/>
        <v>2.8499999999999979</v>
      </c>
      <c r="C169" s="55">
        <f t="shared" si="28"/>
        <v>5.6999999999999957</v>
      </c>
      <c r="D169" s="54">
        <f t="shared" si="29"/>
        <v>3.4363833453070064E-3</v>
      </c>
      <c r="E169">
        <f t="shared" si="30"/>
        <v>17.099999999999987</v>
      </c>
      <c r="F169" s="27">
        <f t="shared" si="31"/>
        <v>1.1713183649401735E-8</v>
      </c>
    </row>
    <row r="170" spans="2:6">
      <c r="B170" s="7">
        <f t="shared" si="32"/>
        <v>2.8999999999999977</v>
      </c>
      <c r="C170" s="55">
        <f t="shared" si="28"/>
        <v>5.7999999999999954</v>
      </c>
      <c r="D170" s="54">
        <f t="shared" si="29"/>
        <v>2.9762662098879477E-3</v>
      </c>
      <c r="E170">
        <f t="shared" si="30"/>
        <v>17.399999999999984</v>
      </c>
      <c r="F170" s="27">
        <f t="shared" si="31"/>
        <v>6.5910654687484112E-9</v>
      </c>
    </row>
    <row r="171" spans="2:6">
      <c r="B171" s="7">
        <f t="shared" si="32"/>
        <v>2.9499999999999975</v>
      </c>
      <c r="C171" s="55">
        <f t="shared" si="28"/>
        <v>5.899999999999995</v>
      </c>
      <c r="D171" s="54">
        <f t="shared" si="29"/>
        <v>2.5713204615269896E-3</v>
      </c>
      <c r="E171">
        <f t="shared" si="30"/>
        <v>17.699999999999985</v>
      </c>
      <c r="F171" s="27">
        <f t="shared" si="31"/>
        <v>3.671921208227553E-9</v>
      </c>
    </row>
    <row r="172" spans="2:6">
      <c r="B172" s="7">
        <f t="shared" si="32"/>
        <v>2.9999999999999973</v>
      </c>
      <c r="C172" s="55">
        <f t="shared" si="28"/>
        <v>5.9999999999999947</v>
      </c>
      <c r="D172" s="54">
        <f t="shared" si="29"/>
        <v>2.2159242059690211E-3</v>
      </c>
      <c r="E172">
        <f t="shared" si="30"/>
        <v>17.999999999999986</v>
      </c>
      <c r="F172" s="27">
        <f t="shared" si="31"/>
        <v>2.025294283274486E-9</v>
      </c>
    </row>
    <row r="173" spans="2:6">
      <c r="B173" s="7">
        <f t="shared" si="32"/>
        <v>3.0499999999999972</v>
      </c>
      <c r="C173" s="55">
        <f t="shared" si="28"/>
        <v>6.0999999999999943</v>
      </c>
      <c r="D173" s="54">
        <f t="shared" si="29"/>
        <v>1.9048810491109202E-3</v>
      </c>
      <c r="E173">
        <f t="shared" si="30"/>
        <v>18.299999999999983</v>
      </c>
      <c r="F173" s="27">
        <f t="shared" si="31"/>
        <v>1.1059614145158036E-9</v>
      </c>
    </row>
    <row r="174" spans="2:6">
      <c r="B174" s="7">
        <f t="shared" si="32"/>
        <v>3.099999999999997</v>
      </c>
      <c r="C174" s="55">
        <f t="shared" si="28"/>
        <v>6.199999999999994</v>
      </c>
      <c r="D174" s="54">
        <f t="shared" si="29"/>
        <v>1.6334095280999752E-3</v>
      </c>
      <c r="E174">
        <f t="shared" si="30"/>
        <v>18.59999999999998</v>
      </c>
      <c r="F174" s="27">
        <f t="shared" si="31"/>
        <v>5.9792796932138741E-10</v>
      </c>
    </row>
    <row r="175" spans="2:6">
      <c r="B175" s="7">
        <f t="shared" si="32"/>
        <v>3.1499999999999968</v>
      </c>
      <c r="C175" s="55">
        <f t="shared" si="28"/>
        <v>6.2999999999999936</v>
      </c>
      <c r="D175" s="54">
        <f t="shared" si="29"/>
        <v>1.397129207439737E-3</v>
      </c>
      <c r="E175">
        <f t="shared" si="30"/>
        <v>18.899999999999981</v>
      </c>
      <c r="F175" s="27">
        <f t="shared" si="31"/>
        <v>3.2004777901042365E-10</v>
      </c>
    </row>
    <row r="176" spans="2:6">
      <c r="B176" s="7">
        <f t="shared" si="32"/>
        <v>3.1999999999999966</v>
      </c>
      <c r="C176" s="55">
        <f t="shared" si="28"/>
        <v>6.3999999999999932</v>
      </c>
      <c r="D176" s="54">
        <f t="shared" si="29"/>
        <v>1.1920441007324336E-3</v>
      </c>
      <c r="E176">
        <f t="shared" si="30"/>
        <v>19.199999999999982</v>
      </c>
      <c r="F176" s="27">
        <f t="shared" si="31"/>
        <v>1.6960467605484184E-10</v>
      </c>
    </row>
    <row r="177" spans="2:6">
      <c r="B177" s="7">
        <f t="shared" si="32"/>
        <v>3.2499999999999964</v>
      </c>
      <c r="C177" s="55">
        <f t="shared" si="28"/>
        <v>6.4999999999999929</v>
      </c>
      <c r="D177" s="54">
        <f t="shared" si="29"/>
        <v>1.0145240286498955E-3</v>
      </c>
      <c r="E177">
        <f t="shared" si="30"/>
        <v>19.499999999999979</v>
      </c>
      <c r="F177" s="27">
        <f t="shared" si="31"/>
        <v>8.8985220492099157E-11</v>
      </c>
    </row>
    <row r="178" spans="2:6">
      <c r="B178" s="7">
        <f t="shared" si="32"/>
        <v>3.2999999999999963</v>
      </c>
      <c r="C178" s="55">
        <f t="shared" si="28"/>
        <v>6.5999999999999925</v>
      </c>
      <c r="D178" s="54">
        <f t="shared" si="29"/>
        <v>8.6128446952685048E-4</v>
      </c>
      <c r="E178">
        <f t="shared" si="30"/>
        <v>19.799999999999976</v>
      </c>
      <c r="F178" s="27">
        <f t="shared" si="31"/>
        <v>4.6222666472179532E-11</v>
      </c>
    </row>
    <row r="179" spans="2:6">
      <c r="B179" s="7">
        <f t="shared" si="32"/>
        <v>3.3499999999999961</v>
      </c>
      <c r="C179" s="55">
        <f t="shared" si="28"/>
        <v>6.6999999999999922</v>
      </c>
      <c r="D179" s="54">
        <f t="shared" si="29"/>
        <v>7.2936540233338259E-4</v>
      </c>
      <c r="E179">
        <f t="shared" si="30"/>
        <v>20.099999999999977</v>
      </c>
      <c r="F179" s="27">
        <f t="shared" si="31"/>
        <v>2.3771093746654767E-11</v>
      </c>
    </row>
    <row r="180" spans="2:6">
      <c r="B180" s="7">
        <f t="shared" si="32"/>
        <v>3.3999999999999959</v>
      </c>
      <c r="C180" s="55">
        <f t="shared" si="28"/>
        <v>6.7999999999999918</v>
      </c>
      <c r="D180" s="54">
        <f t="shared" si="29"/>
        <v>6.161095842365181E-4</v>
      </c>
      <c r="E180">
        <f t="shared" si="30"/>
        <v>20.399999999999977</v>
      </c>
      <c r="F180" s="27">
        <f t="shared" si="31"/>
        <v>1.2103205005973271E-11</v>
      </c>
    </row>
    <row r="181" spans="2:6">
      <c r="B181" s="7">
        <f t="shared" si="32"/>
        <v>3.4499999999999957</v>
      </c>
      <c r="C181" s="55">
        <f t="shared" si="28"/>
        <v>6.8999999999999915</v>
      </c>
      <c r="D181" s="54">
        <f t="shared" si="29"/>
        <v>5.1914064783071287E-4</v>
      </c>
      <c r="E181">
        <f t="shared" si="30"/>
        <v>20.699999999999974</v>
      </c>
      <c r="F181" s="27">
        <f t="shared" si="31"/>
        <v>6.1011073900522934E-12</v>
      </c>
    </row>
    <row r="182" spans="2:6">
      <c r="B182" s="7">
        <f t="shared" si="32"/>
        <v>3.4999999999999956</v>
      </c>
      <c r="C182" s="55">
        <f t="shared" si="28"/>
        <v>6.9999999999999911</v>
      </c>
      <c r="D182" s="54">
        <f t="shared" si="29"/>
        <v>4.3634134752288702E-4</v>
      </c>
      <c r="E182">
        <f t="shared" si="30"/>
        <v>20.999999999999972</v>
      </c>
      <c r="F182" s="27">
        <f t="shared" si="31"/>
        <v>3.0449068027884032E-12</v>
      </c>
    </row>
    <row r="183" spans="2:6">
      <c r="B183" s="7">
        <f t="shared" si="32"/>
        <v>3.5499999999999954</v>
      </c>
      <c r="C183" s="55">
        <f t="shared" si="28"/>
        <v>7.0999999999999908</v>
      </c>
      <c r="D183" s="54">
        <f t="shared" si="29"/>
        <v>3.6583223141516119E-4</v>
      </c>
      <c r="E183">
        <f t="shared" si="30"/>
        <v>21.299999999999972</v>
      </c>
      <c r="F183" s="27">
        <f t="shared" si="31"/>
        <v>1.504514559068602E-12</v>
      </c>
    </row>
    <row r="184" spans="2:6">
      <c r="B184" s="7">
        <f t="shared" si="32"/>
        <v>3.5999999999999952</v>
      </c>
      <c r="C184" s="55">
        <f t="shared" si="28"/>
        <v>7.1999999999999904</v>
      </c>
      <c r="D184" s="54">
        <f t="shared" si="29"/>
        <v>3.0595096505689137E-4</v>
      </c>
      <c r="E184">
        <f t="shared" si="30"/>
        <v>21.599999999999973</v>
      </c>
      <c r="F184" s="27">
        <f t="shared" si="31"/>
        <v>7.3599665437909606E-13</v>
      </c>
    </row>
    <row r="185" spans="2:6">
      <c r="B185" s="7">
        <f t="shared" si="32"/>
        <v>3.649999999999995</v>
      </c>
      <c r="C185" s="55">
        <f t="shared" si="28"/>
        <v>7.2999999999999901</v>
      </c>
      <c r="D185" s="54">
        <f t="shared" si="29"/>
        <v>2.552324871720973E-4</v>
      </c>
      <c r="E185">
        <f t="shared" si="30"/>
        <v>21.89999999999997</v>
      </c>
      <c r="F185" s="27">
        <f t="shared" si="31"/>
        <v>3.5646126238474659E-13</v>
      </c>
    </row>
    <row r="186" spans="2:6">
      <c r="B186" s="7">
        <f t="shared" si="32"/>
        <v>3.6999999999999948</v>
      </c>
      <c r="C186" s="55">
        <f t="shared" si="28"/>
        <v>7.3999999999999897</v>
      </c>
      <c r="D186" s="54">
        <f t="shared" si="29"/>
        <v>2.1239013527537984E-4</v>
      </c>
      <c r="E186">
        <f t="shared" si="30"/>
        <v>22.199999999999967</v>
      </c>
      <c r="F186" s="27">
        <f t="shared" si="31"/>
        <v>1.7092512122656938E-13</v>
      </c>
    </row>
    <row r="187" spans="2:6">
      <c r="B187" s="7">
        <f t="shared" si="32"/>
        <v>3.7499999999999947</v>
      </c>
      <c r="C187" s="55">
        <f t="shared" si="28"/>
        <v>7.4999999999999893</v>
      </c>
      <c r="D187" s="54">
        <f t="shared" si="29"/>
        <v>1.7629784118372612E-4</v>
      </c>
      <c r="E187">
        <f t="shared" si="30"/>
        <v>22.499999999999968</v>
      </c>
      <c r="F187" s="27">
        <f t="shared" si="31"/>
        <v>8.1144017767640002E-14</v>
      </c>
    </row>
    <row r="188" spans="2:6">
      <c r="B188" s="7">
        <f t="shared" si="32"/>
        <v>3.7999999999999945</v>
      </c>
      <c r="C188" s="55">
        <f t="shared" si="28"/>
        <v>7.599999999999989</v>
      </c>
      <c r="D188" s="54">
        <f t="shared" si="29"/>
        <v>1.4597346289573312E-4</v>
      </c>
      <c r="E188">
        <f t="shared" si="30"/>
        <v>22.799999999999969</v>
      </c>
      <c r="F188" s="27">
        <f t="shared" si="31"/>
        <v>3.8138549672674207E-14</v>
      </c>
    </row>
    <row r="189" spans="2:6">
      <c r="B189" s="7">
        <f t="shared" si="32"/>
        <v>3.8499999999999943</v>
      </c>
      <c r="C189" s="55">
        <f t="shared" si="28"/>
        <v>7.6999999999999886</v>
      </c>
      <c r="D189" s="54">
        <f t="shared" si="29"/>
        <v>1.205632901129994E-4</v>
      </c>
      <c r="E189">
        <f t="shared" si="30"/>
        <v>23.099999999999966</v>
      </c>
      <c r="F189" s="27">
        <f t="shared" si="31"/>
        <v>1.7747161240844782E-14</v>
      </c>
    </row>
    <row r="190" spans="2:6">
      <c r="B190" s="7">
        <f t="shared" si="32"/>
        <v>3.8999999999999941</v>
      </c>
      <c r="C190" s="55">
        <f t="shared" si="28"/>
        <v>7.7999999999999883</v>
      </c>
      <c r="D190" s="54">
        <f t="shared" si="29"/>
        <v>9.9327735696388554E-5</v>
      </c>
      <c r="E190">
        <f t="shared" si="30"/>
        <v>23.399999999999963</v>
      </c>
      <c r="F190" s="27">
        <f t="shared" si="31"/>
        <v>8.1761842856555603E-15</v>
      </c>
    </row>
    <row r="191" spans="2:6">
      <c r="B191" s="7">
        <f t="shared" si="32"/>
        <v>3.949999999999994</v>
      </c>
      <c r="C191" s="55">
        <f t="shared" si="28"/>
        <v>7.8999999999999879</v>
      </c>
      <c r="D191" s="54">
        <f t="shared" si="29"/>
        <v>8.1628204383122946E-5</v>
      </c>
      <c r="E191">
        <f t="shared" si="30"/>
        <v>23.699999999999964</v>
      </c>
      <c r="F191" s="27">
        <f t="shared" si="31"/>
        <v>3.7293187381176421E-15</v>
      </c>
    </row>
    <row r="192" spans="2:6">
      <c r="B192" s="7">
        <f t="shared" si="32"/>
        <v>3.9999999999999938</v>
      </c>
      <c r="C192" s="55">
        <f t="shared" ref="C192" si="33">mue_1+B192*sigma_1</f>
        <v>7.9999999999999876</v>
      </c>
      <c r="D192" s="54">
        <f t="shared" ref="D192" si="34">NORMDIST(C192,mue_1,sigma_1,0)</f>
        <v>6.6915112882444337E-5</v>
      </c>
      <c r="E192">
        <f t="shared" si="30"/>
        <v>23.999999999999964</v>
      </c>
      <c r="F192" s="27">
        <f t="shared" ref="F192" si="35">NORMDIST(E192,mue_2,sigma_2,0)</f>
        <v>1.6840903611791254E-15</v>
      </c>
    </row>
    <row r="193" spans="2:4">
      <c r="C193" s="54"/>
      <c r="D193" s="7"/>
    </row>
    <row r="194" spans="2:4">
      <c r="C194" s="54"/>
      <c r="D194" s="7"/>
    </row>
    <row r="195" spans="2:4">
      <c r="C195" s="54"/>
      <c r="D195" s="7"/>
    </row>
    <row r="196" spans="2:4">
      <c r="C196" s="54"/>
      <c r="D196" s="7"/>
    </row>
    <row r="197" spans="2:4">
      <c r="B197" s="7"/>
      <c r="C197" s="54"/>
      <c r="D197" s="7"/>
    </row>
    <row r="198" spans="2:4">
      <c r="B198" s="7"/>
      <c r="C198" s="54"/>
      <c r="D198" s="7"/>
    </row>
    <row r="199" spans="2:4">
      <c r="B199" s="7"/>
      <c r="C199" s="54"/>
      <c r="D199" s="7"/>
    </row>
    <row r="200" spans="2:4">
      <c r="B200" s="7"/>
      <c r="C200" s="54"/>
      <c r="D200" s="7"/>
    </row>
    <row r="201" spans="2:4">
      <c r="B201" s="7"/>
      <c r="C201" s="54"/>
      <c r="D201" s="7"/>
    </row>
    <row r="202" spans="2:4">
      <c r="B202" s="7"/>
      <c r="C202" s="54"/>
      <c r="D202" s="7"/>
    </row>
    <row r="203" spans="2:4">
      <c r="B203" s="7"/>
      <c r="C203" s="54"/>
      <c r="D203" s="7"/>
    </row>
    <row r="204" spans="2:4">
      <c r="B204" s="7"/>
      <c r="C204" s="54"/>
      <c r="D204" s="7"/>
    </row>
    <row r="205" spans="2:4">
      <c r="B205" s="7"/>
      <c r="C205" s="54"/>
      <c r="D205" s="7"/>
    </row>
    <row r="206" spans="2:4">
      <c r="B206" s="7"/>
      <c r="C206" s="54"/>
      <c r="D206" s="7"/>
    </row>
    <row r="207" spans="2:4">
      <c r="B207" s="7"/>
      <c r="C207" s="54"/>
      <c r="D207" s="7"/>
    </row>
    <row r="208" spans="2:4">
      <c r="B208" s="7"/>
      <c r="C208" s="54"/>
      <c r="D208" s="7"/>
    </row>
    <row r="209" spans="2:4">
      <c r="B209" s="7"/>
      <c r="C209" s="54"/>
      <c r="D209" s="7"/>
    </row>
    <row r="210" spans="2:4">
      <c r="B210" s="7"/>
      <c r="C210" s="54"/>
      <c r="D210" s="7"/>
    </row>
    <row r="211" spans="2:4">
      <c r="B211" s="7"/>
      <c r="C211" s="54"/>
      <c r="D211" s="7"/>
    </row>
    <row r="212" spans="2:4">
      <c r="B212" s="7"/>
      <c r="C212" s="54"/>
      <c r="D212" s="7"/>
    </row>
    <row r="213" spans="2:4">
      <c r="B213" s="7"/>
      <c r="C213" s="54"/>
      <c r="D213" s="7"/>
    </row>
    <row r="214" spans="2:4">
      <c r="B214" s="7"/>
      <c r="C214" s="54"/>
      <c r="D214" s="7"/>
    </row>
    <row r="215" spans="2:4">
      <c r="B215" s="7"/>
      <c r="C215" s="54"/>
      <c r="D215" s="7"/>
    </row>
    <row r="216" spans="2:4">
      <c r="B216" s="7"/>
      <c r="C216" s="54"/>
      <c r="D216" s="7"/>
    </row>
    <row r="217" spans="2:4">
      <c r="B217" s="7"/>
      <c r="C217" s="54"/>
      <c r="D217" s="7"/>
    </row>
    <row r="218" spans="2:4">
      <c r="B218" s="7"/>
      <c r="C218" s="54"/>
      <c r="D218" s="7"/>
    </row>
    <row r="219" spans="2:4">
      <c r="B219" s="7"/>
      <c r="C219" s="54"/>
      <c r="D219" s="7"/>
    </row>
    <row r="220" spans="2:4">
      <c r="B220" s="7"/>
      <c r="C220" s="54"/>
      <c r="D220" s="7"/>
    </row>
    <row r="221" spans="2:4">
      <c r="B221" s="7"/>
      <c r="C221" s="54"/>
      <c r="D221" s="7"/>
    </row>
    <row r="222" spans="2:4">
      <c r="B222" s="7"/>
      <c r="C222" s="54"/>
      <c r="D222" s="7"/>
    </row>
    <row r="223" spans="2:4">
      <c r="B223" s="7"/>
      <c r="C223" s="54"/>
      <c r="D223" s="7"/>
    </row>
    <row r="224" spans="2:4">
      <c r="B224" s="7"/>
      <c r="C224" s="54"/>
      <c r="D224" s="7"/>
    </row>
    <row r="225" spans="2:4">
      <c r="B225" s="7"/>
      <c r="C225" s="54"/>
      <c r="D225" s="7"/>
    </row>
    <row r="226" spans="2:4">
      <c r="B226" s="7"/>
      <c r="C226" s="54"/>
      <c r="D226" s="7"/>
    </row>
    <row r="227" spans="2:4">
      <c r="B227" s="7"/>
      <c r="C227" s="54"/>
      <c r="D227" s="7"/>
    </row>
    <row r="228" spans="2:4">
      <c r="B228" s="7"/>
      <c r="C228" s="54"/>
      <c r="D228" s="7"/>
    </row>
    <row r="229" spans="2:4">
      <c r="B229" s="7"/>
      <c r="C229" s="54"/>
      <c r="D229" s="7"/>
    </row>
    <row r="230" spans="2:4">
      <c r="B230" s="7"/>
      <c r="C230" s="54"/>
      <c r="D230" s="7"/>
    </row>
    <row r="231" spans="2:4">
      <c r="B231" s="7"/>
      <c r="C231" s="54"/>
      <c r="D231" s="7"/>
    </row>
    <row r="232" spans="2:4">
      <c r="B232" s="7"/>
      <c r="C232" s="54"/>
      <c r="D232" s="7"/>
    </row>
    <row r="233" spans="2:4">
      <c r="B233" s="7"/>
      <c r="C233" s="54"/>
      <c r="D233" s="7"/>
    </row>
    <row r="234" spans="2:4">
      <c r="B234" s="7"/>
      <c r="C234" s="54"/>
      <c r="D234" s="7"/>
    </row>
    <row r="235" spans="2:4">
      <c r="B235" s="7"/>
      <c r="C235" s="54"/>
      <c r="D235" s="7"/>
    </row>
    <row r="236" spans="2:4">
      <c r="B236" s="7"/>
      <c r="C236" s="54"/>
      <c r="D236" s="7"/>
    </row>
    <row r="237" spans="2:4">
      <c r="B237" s="7"/>
      <c r="C237" s="54"/>
      <c r="D237" s="7"/>
    </row>
    <row r="238" spans="2:4">
      <c r="B238" s="7"/>
      <c r="C238" s="54"/>
      <c r="D238" s="7"/>
    </row>
    <row r="239" spans="2:4">
      <c r="B239" s="7"/>
      <c r="C239" s="54"/>
      <c r="D239" s="7"/>
    </row>
    <row r="240" spans="2:4">
      <c r="B240" s="7"/>
      <c r="C240" s="54"/>
      <c r="D240" s="7"/>
    </row>
    <row r="241" spans="2:4">
      <c r="B241" s="7"/>
      <c r="C241" s="54"/>
      <c r="D241" s="7"/>
    </row>
    <row r="242" spans="2:4">
      <c r="B242" s="7"/>
      <c r="C242" s="54"/>
      <c r="D242" s="7"/>
    </row>
    <row r="243" spans="2:4">
      <c r="B243" s="7"/>
      <c r="C243" s="54"/>
      <c r="D243" s="7"/>
    </row>
    <row r="244" spans="2:4">
      <c r="B244" s="7"/>
      <c r="C244" s="54"/>
      <c r="D244" s="7"/>
    </row>
    <row r="245" spans="2:4">
      <c r="B245" s="7"/>
      <c r="C245" s="54"/>
      <c r="D245" s="7"/>
    </row>
    <row r="246" spans="2:4">
      <c r="B246" s="7"/>
      <c r="C246" s="54"/>
      <c r="D246" s="7"/>
    </row>
    <row r="247" spans="2:4">
      <c r="B247" s="7"/>
      <c r="C247" s="54"/>
      <c r="D247" s="7"/>
    </row>
    <row r="248" spans="2:4">
      <c r="B248" s="7"/>
      <c r="C248" s="54"/>
      <c r="D248" s="7"/>
    </row>
    <row r="249" spans="2:4">
      <c r="B249" s="7"/>
      <c r="C249" s="54"/>
      <c r="D249" s="7"/>
    </row>
    <row r="250" spans="2:4">
      <c r="B250" s="7"/>
      <c r="C250" s="54"/>
      <c r="D250" s="7"/>
    </row>
    <row r="251" spans="2:4">
      <c r="B251" s="7"/>
      <c r="C251" s="54"/>
      <c r="D251" s="7"/>
    </row>
    <row r="252" spans="2:4">
      <c r="B252" s="7"/>
      <c r="C252" s="54"/>
      <c r="D252" s="7"/>
    </row>
    <row r="253" spans="2:4">
      <c r="B253" s="7"/>
      <c r="C253" s="54"/>
      <c r="D253" s="7"/>
    </row>
    <row r="254" spans="2:4">
      <c r="B254" s="7"/>
      <c r="C254" s="54"/>
      <c r="D254" s="7"/>
    </row>
    <row r="255" spans="2:4">
      <c r="B255" s="7"/>
      <c r="C255" s="54"/>
      <c r="D255" s="7"/>
    </row>
    <row r="256" spans="2:4">
      <c r="B256" s="7"/>
      <c r="C256" s="54"/>
      <c r="D256" s="7"/>
    </row>
    <row r="257" spans="2:4">
      <c r="B257" s="7"/>
      <c r="C257" s="54"/>
      <c r="D257" s="7"/>
    </row>
    <row r="258" spans="2:4">
      <c r="B258" s="7"/>
      <c r="C258" s="54"/>
      <c r="D258" s="7"/>
    </row>
    <row r="259" spans="2:4">
      <c r="B259" s="7"/>
      <c r="C259" s="54"/>
      <c r="D259" s="7"/>
    </row>
    <row r="260" spans="2:4">
      <c r="B260" s="7"/>
      <c r="C260" s="54"/>
      <c r="D260" s="7"/>
    </row>
    <row r="261" spans="2:4">
      <c r="B261" s="7"/>
      <c r="C261" s="54"/>
      <c r="D261" s="7"/>
    </row>
    <row r="262" spans="2:4">
      <c r="B262" s="7"/>
      <c r="C262" s="54"/>
      <c r="D262" s="7"/>
    </row>
    <row r="263" spans="2:4">
      <c r="B263" s="7"/>
      <c r="C263" s="54"/>
      <c r="D263" s="7"/>
    </row>
    <row r="264" spans="2:4">
      <c r="B264" s="7"/>
      <c r="C264" s="54"/>
      <c r="D264" s="7"/>
    </row>
    <row r="265" spans="2:4">
      <c r="B265" s="7"/>
      <c r="C265" s="54"/>
      <c r="D265" s="7"/>
    </row>
    <row r="266" spans="2:4">
      <c r="B266" s="7"/>
      <c r="C266" s="54"/>
      <c r="D266" s="7"/>
    </row>
    <row r="267" spans="2:4">
      <c r="B267" s="7"/>
      <c r="C267" s="54"/>
      <c r="D267" s="7"/>
    </row>
    <row r="268" spans="2:4">
      <c r="B268" s="7"/>
      <c r="C268" s="54"/>
      <c r="D268" s="7"/>
    </row>
    <row r="269" spans="2:4">
      <c r="B269" s="7"/>
      <c r="C269" s="54"/>
      <c r="D269" s="7"/>
    </row>
    <row r="270" spans="2:4">
      <c r="B270" s="7"/>
      <c r="C270" s="54"/>
      <c r="D270" s="7"/>
    </row>
    <row r="271" spans="2:4">
      <c r="B271" s="7"/>
      <c r="C271" s="54"/>
      <c r="D271" s="7"/>
    </row>
    <row r="272" spans="2:4">
      <c r="B272" s="7"/>
      <c r="C272" s="54"/>
      <c r="D272" s="7"/>
    </row>
    <row r="273" spans="2:4">
      <c r="B273" s="7"/>
      <c r="C273" s="54"/>
      <c r="D273" s="7"/>
    </row>
    <row r="274" spans="2:4">
      <c r="B274" s="7"/>
      <c r="C274" s="54"/>
      <c r="D274" s="7"/>
    </row>
    <row r="275" spans="2:4">
      <c r="B275" s="7"/>
      <c r="C275" s="54"/>
      <c r="D275" s="7"/>
    </row>
    <row r="276" spans="2:4">
      <c r="B276" s="7"/>
      <c r="C276" s="54"/>
      <c r="D276" s="7"/>
    </row>
    <row r="277" spans="2:4">
      <c r="B277" s="7"/>
      <c r="C277" s="54"/>
      <c r="D277" s="7"/>
    </row>
    <row r="278" spans="2:4">
      <c r="B278" s="7"/>
      <c r="C278" s="54"/>
      <c r="D278" s="7"/>
    </row>
    <row r="279" spans="2:4">
      <c r="B279" s="7"/>
      <c r="C279" s="54"/>
      <c r="D279" s="7"/>
    </row>
    <row r="280" spans="2:4">
      <c r="B280" s="7"/>
      <c r="C280" s="54"/>
      <c r="D280" s="7"/>
    </row>
    <row r="281" spans="2:4">
      <c r="B281" s="7"/>
      <c r="C281" s="54"/>
      <c r="D281" s="7"/>
    </row>
    <row r="282" spans="2:4">
      <c r="B282" s="7"/>
      <c r="C282" s="54"/>
      <c r="D282" s="7"/>
    </row>
    <row r="283" spans="2:4">
      <c r="B283" s="7"/>
      <c r="C283" s="54"/>
      <c r="D283" s="7"/>
    </row>
    <row r="284" spans="2:4">
      <c r="B284" s="7"/>
      <c r="C284" s="54"/>
      <c r="D284" s="7"/>
    </row>
    <row r="285" spans="2:4">
      <c r="B285" s="7"/>
      <c r="C285" s="54"/>
      <c r="D285" s="7"/>
    </row>
    <row r="286" spans="2:4">
      <c r="B286" s="7"/>
      <c r="C286" s="54"/>
      <c r="D286" s="7"/>
    </row>
    <row r="287" spans="2:4">
      <c r="B287" s="7"/>
      <c r="C287" s="54"/>
      <c r="D287" s="7"/>
    </row>
    <row r="288" spans="2:4">
      <c r="B288" s="7"/>
      <c r="C288" s="54"/>
      <c r="D288" s="7"/>
    </row>
    <row r="289" spans="2:4">
      <c r="B289" s="7"/>
      <c r="C289" s="54"/>
      <c r="D289" s="7"/>
    </row>
    <row r="290" spans="2:4">
      <c r="B290" s="7"/>
      <c r="C290" s="54"/>
      <c r="D290" s="7"/>
    </row>
    <row r="291" spans="2:4">
      <c r="B291" s="7"/>
      <c r="C291" s="54"/>
      <c r="D291" s="7"/>
    </row>
    <row r="292" spans="2:4">
      <c r="B292" s="7"/>
      <c r="C292" s="54"/>
      <c r="D292" s="7"/>
    </row>
    <row r="293" spans="2:4">
      <c r="B293" s="7"/>
      <c r="C293" s="54"/>
      <c r="D293" s="7"/>
    </row>
    <row r="294" spans="2:4">
      <c r="B294" s="7"/>
      <c r="C294" s="54"/>
      <c r="D294" s="7"/>
    </row>
    <row r="295" spans="2:4">
      <c r="B295" s="7"/>
      <c r="C295" s="54"/>
      <c r="D295" s="7"/>
    </row>
    <row r="296" spans="2:4">
      <c r="B296" s="7"/>
      <c r="C296" s="54"/>
      <c r="D296" s="7"/>
    </row>
    <row r="297" spans="2:4">
      <c r="B297" s="7"/>
      <c r="C297" s="54"/>
      <c r="D297" s="7"/>
    </row>
    <row r="298" spans="2:4">
      <c r="B298" s="7"/>
      <c r="C298" s="54"/>
      <c r="D298" s="7"/>
    </row>
    <row r="299" spans="2:4">
      <c r="B299" s="7"/>
      <c r="C299" s="54"/>
      <c r="D299" s="7"/>
    </row>
    <row r="300" spans="2:4">
      <c r="B300" s="7"/>
      <c r="C300" s="54"/>
      <c r="D300" s="7"/>
    </row>
    <row r="301" spans="2:4">
      <c r="B301" s="7"/>
      <c r="C301" s="54"/>
      <c r="D301" s="7"/>
    </row>
    <row r="302" spans="2:4">
      <c r="B302" s="7"/>
      <c r="C302" s="54"/>
      <c r="D302" s="7"/>
    </row>
    <row r="303" spans="2:4">
      <c r="B303" s="7"/>
      <c r="C303" s="54"/>
      <c r="D303" s="7"/>
    </row>
    <row r="304" spans="2:4">
      <c r="B304" s="7"/>
      <c r="C304" s="54"/>
      <c r="D304" s="7"/>
    </row>
    <row r="305" spans="2:4">
      <c r="B305" s="7"/>
      <c r="C305" s="54"/>
      <c r="D305" s="7"/>
    </row>
    <row r="306" spans="2:4">
      <c r="B306" s="7"/>
      <c r="C306" s="54"/>
      <c r="D306" s="7"/>
    </row>
    <row r="307" spans="2:4">
      <c r="B307" s="7"/>
      <c r="C307" s="54"/>
      <c r="D307" s="7"/>
    </row>
    <row r="308" spans="2:4">
      <c r="B308" s="7"/>
      <c r="C308" s="54"/>
      <c r="D308" s="7"/>
    </row>
    <row r="309" spans="2:4">
      <c r="B309" s="7"/>
      <c r="C309" s="54"/>
      <c r="D309" s="7"/>
    </row>
    <row r="310" spans="2:4">
      <c r="B310" s="7"/>
      <c r="C310" s="54"/>
      <c r="D310" s="7"/>
    </row>
    <row r="311" spans="2:4">
      <c r="B311" s="7"/>
      <c r="C311" s="54"/>
      <c r="D311" s="7"/>
    </row>
    <row r="312" spans="2:4">
      <c r="B312" s="7"/>
      <c r="C312" s="54"/>
      <c r="D312" s="7"/>
    </row>
    <row r="313" spans="2:4">
      <c r="B313" s="7"/>
      <c r="C313" s="54"/>
      <c r="D313" s="7"/>
    </row>
    <row r="314" spans="2:4">
      <c r="B314" s="7"/>
      <c r="C314" s="54"/>
      <c r="D314" s="7"/>
    </row>
    <row r="315" spans="2:4">
      <c r="B315" s="7"/>
      <c r="C315" s="54"/>
      <c r="D315" s="7"/>
    </row>
    <row r="316" spans="2:4">
      <c r="B316" s="7"/>
      <c r="C316" s="54"/>
      <c r="D316" s="7"/>
    </row>
    <row r="317" spans="2:4">
      <c r="B317" s="7"/>
      <c r="C317" s="54"/>
      <c r="D317" s="7"/>
    </row>
    <row r="318" spans="2:4">
      <c r="B318" s="7"/>
      <c r="C318" s="54"/>
      <c r="D318" s="7"/>
    </row>
    <row r="319" spans="2:4">
      <c r="B319" s="7"/>
      <c r="C319" s="54"/>
      <c r="D319" s="7"/>
    </row>
    <row r="320" spans="2:4">
      <c r="B320" s="7"/>
      <c r="C320" s="54"/>
      <c r="D320" s="7"/>
    </row>
    <row r="321" spans="2:4">
      <c r="B321" s="7"/>
      <c r="C321" s="54"/>
      <c r="D321" s="7"/>
    </row>
    <row r="322" spans="2:4">
      <c r="B322" s="7"/>
      <c r="C322" s="54"/>
      <c r="D322" s="7"/>
    </row>
    <row r="323" spans="2:4">
      <c r="B323" s="7"/>
      <c r="C323" s="54"/>
      <c r="D323" s="7"/>
    </row>
    <row r="324" spans="2:4">
      <c r="B324" s="7"/>
      <c r="C324" s="54"/>
      <c r="D324" s="7"/>
    </row>
    <row r="325" spans="2:4">
      <c r="B325" s="7"/>
      <c r="C325" s="54"/>
      <c r="D325" s="7"/>
    </row>
    <row r="326" spans="2:4">
      <c r="B326" s="7"/>
      <c r="C326" s="54"/>
      <c r="D326" s="7"/>
    </row>
    <row r="327" spans="2:4">
      <c r="B327" s="7"/>
      <c r="C327" s="54"/>
      <c r="D327" s="7"/>
    </row>
    <row r="328" spans="2:4">
      <c r="B328" s="7"/>
      <c r="C328" s="54"/>
      <c r="D328" s="7"/>
    </row>
    <row r="329" spans="2:4">
      <c r="B329" s="7"/>
      <c r="C329" s="54"/>
      <c r="D329" s="7"/>
    </row>
    <row r="330" spans="2:4">
      <c r="B330" s="7"/>
      <c r="C330" s="54"/>
      <c r="D330" s="7"/>
    </row>
    <row r="331" spans="2:4">
      <c r="B331" s="7"/>
      <c r="C331" s="54"/>
      <c r="D331" s="7"/>
    </row>
    <row r="332" spans="2:4">
      <c r="B332" s="7"/>
      <c r="C332" s="54"/>
      <c r="D332" s="7"/>
    </row>
    <row r="333" spans="2:4">
      <c r="B333" s="7"/>
      <c r="C333" s="54"/>
      <c r="D333" s="7"/>
    </row>
    <row r="334" spans="2:4">
      <c r="B334" s="7"/>
      <c r="C334" s="54"/>
      <c r="D334" s="7"/>
    </row>
    <row r="335" spans="2:4">
      <c r="B335" s="7"/>
      <c r="C335" s="54"/>
      <c r="D335" s="7"/>
    </row>
    <row r="336" spans="2:4">
      <c r="B336" s="7"/>
      <c r="C336" s="54"/>
      <c r="D336" s="7"/>
    </row>
    <row r="337" spans="2:4">
      <c r="B337" s="7"/>
      <c r="C337" s="54"/>
      <c r="D337" s="7"/>
    </row>
    <row r="338" spans="2:4">
      <c r="B338" s="7"/>
      <c r="C338" s="54"/>
      <c r="D338" s="7"/>
    </row>
    <row r="339" spans="2:4">
      <c r="B339" s="7"/>
      <c r="C339" s="54"/>
      <c r="D339" s="7"/>
    </row>
    <row r="340" spans="2:4">
      <c r="B340" s="7"/>
      <c r="C340" s="54"/>
      <c r="D340" s="7"/>
    </row>
    <row r="341" spans="2:4">
      <c r="B341" s="7"/>
      <c r="C341" s="54"/>
      <c r="D341" s="7"/>
    </row>
    <row r="342" spans="2:4">
      <c r="B342" s="7"/>
      <c r="C342" s="54"/>
      <c r="D342" s="7"/>
    </row>
    <row r="343" spans="2:4">
      <c r="B343" s="7"/>
      <c r="C343" s="54"/>
      <c r="D343" s="7"/>
    </row>
    <row r="344" spans="2:4">
      <c r="B344" s="7"/>
      <c r="C344" s="54"/>
      <c r="D344" s="7"/>
    </row>
    <row r="345" spans="2:4">
      <c r="B345" s="7"/>
      <c r="C345" s="54"/>
      <c r="D345" s="7"/>
    </row>
    <row r="346" spans="2:4">
      <c r="B346" s="7"/>
      <c r="C346" s="54"/>
      <c r="D346" s="7"/>
    </row>
    <row r="347" spans="2:4">
      <c r="B347" s="7"/>
      <c r="C347" s="54"/>
      <c r="D347" s="7"/>
    </row>
    <row r="348" spans="2:4">
      <c r="B348" s="7"/>
      <c r="C348" s="54"/>
      <c r="D348" s="7"/>
    </row>
    <row r="349" spans="2:4">
      <c r="B349" s="7"/>
      <c r="C349" s="54"/>
      <c r="D349" s="7"/>
    </row>
    <row r="350" spans="2:4">
      <c r="B350" s="7"/>
      <c r="C350" s="54"/>
      <c r="D350" s="7"/>
    </row>
    <row r="351" spans="2:4">
      <c r="B351" s="7"/>
      <c r="C351" s="54"/>
      <c r="D351" s="7"/>
    </row>
    <row r="352" spans="2:4">
      <c r="B352" s="7"/>
      <c r="C352" s="54"/>
      <c r="D352" s="7"/>
    </row>
    <row r="353" spans="2:4">
      <c r="B353" s="7"/>
      <c r="C353" s="54"/>
      <c r="D353" s="7"/>
    </row>
    <row r="354" spans="2:4">
      <c r="B354" s="7"/>
      <c r="C354" s="54"/>
      <c r="D354" s="7"/>
    </row>
    <row r="355" spans="2:4">
      <c r="B355" s="7"/>
      <c r="C355" s="54"/>
      <c r="D355" s="7"/>
    </row>
    <row r="356" spans="2:4">
      <c r="B356" s="7"/>
      <c r="C356" s="54"/>
      <c r="D356" s="7"/>
    </row>
    <row r="357" spans="2:4">
      <c r="B357" s="7"/>
      <c r="C357" s="54"/>
      <c r="D357" s="7"/>
    </row>
    <row r="358" spans="2:4">
      <c r="B358" s="7"/>
      <c r="C358" s="54"/>
      <c r="D358" s="7"/>
    </row>
    <row r="359" spans="2:4">
      <c r="B359" s="7"/>
      <c r="C359" s="54"/>
      <c r="D359" s="7"/>
    </row>
    <row r="360" spans="2:4">
      <c r="B360" s="7"/>
      <c r="C360" s="54"/>
      <c r="D360" s="7"/>
    </row>
    <row r="361" spans="2:4">
      <c r="B361" s="7"/>
      <c r="C361" s="54"/>
      <c r="D361" s="7"/>
    </row>
    <row r="362" spans="2:4">
      <c r="B362" s="7"/>
      <c r="C362" s="54"/>
      <c r="D362" s="7"/>
    </row>
    <row r="363" spans="2:4">
      <c r="B363" s="7"/>
      <c r="C363" s="54"/>
      <c r="D363" s="7"/>
    </row>
    <row r="364" spans="2:4">
      <c r="B364" s="7"/>
      <c r="C364" s="54"/>
      <c r="D364" s="7"/>
    </row>
    <row r="365" spans="2:4">
      <c r="B365" s="7"/>
      <c r="C365" s="54"/>
      <c r="D365" s="7"/>
    </row>
    <row r="366" spans="2:4">
      <c r="B366" s="7"/>
      <c r="C366" s="54"/>
      <c r="D366" s="7"/>
    </row>
    <row r="367" spans="2:4">
      <c r="B367" s="7"/>
      <c r="C367" s="54"/>
      <c r="D367" s="7"/>
    </row>
    <row r="368" spans="2:4">
      <c r="B368" s="7"/>
      <c r="C368" s="54"/>
      <c r="D368" s="7"/>
    </row>
    <row r="369" spans="2:4">
      <c r="B369" s="7"/>
      <c r="C369" s="54"/>
      <c r="D369" s="7"/>
    </row>
    <row r="370" spans="2:4">
      <c r="B370" s="7"/>
      <c r="C370" s="54"/>
      <c r="D370" s="7"/>
    </row>
    <row r="371" spans="2:4">
      <c r="B371" s="7"/>
      <c r="C371" s="54"/>
      <c r="D371" s="7"/>
    </row>
    <row r="372" spans="2:4">
      <c r="B372" s="7"/>
      <c r="C372" s="54"/>
      <c r="D372" s="7"/>
    </row>
    <row r="373" spans="2:4">
      <c r="B373" s="7"/>
      <c r="C373" s="54"/>
      <c r="D373" s="7"/>
    </row>
    <row r="374" spans="2:4">
      <c r="B374" s="7"/>
      <c r="C374" s="54"/>
      <c r="D374" s="7"/>
    </row>
    <row r="375" spans="2:4">
      <c r="B375" s="7"/>
      <c r="C375" s="54"/>
      <c r="D375" s="7"/>
    </row>
    <row r="376" spans="2:4">
      <c r="B376" s="7"/>
      <c r="C376" s="54"/>
      <c r="D376" s="7"/>
    </row>
    <row r="377" spans="2:4">
      <c r="B377" s="7"/>
      <c r="C377" s="54"/>
      <c r="D377" s="7"/>
    </row>
    <row r="378" spans="2:4">
      <c r="B378" s="7"/>
      <c r="C378" s="54"/>
      <c r="D378" s="7"/>
    </row>
    <row r="379" spans="2:4">
      <c r="B379" s="7"/>
      <c r="C379" s="54"/>
      <c r="D379" s="7"/>
    </row>
    <row r="380" spans="2:4">
      <c r="B380" s="7"/>
      <c r="C380" s="54"/>
      <c r="D380" s="7"/>
    </row>
    <row r="381" spans="2:4">
      <c r="B381" s="7"/>
      <c r="C381" s="54"/>
      <c r="D381" s="7"/>
    </row>
    <row r="382" spans="2:4">
      <c r="B382" s="7"/>
      <c r="C382" s="54"/>
      <c r="D382" s="7"/>
    </row>
    <row r="383" spans="2:4">
      <c r="B383" s="7"/>
      <c r="C383" s="54"/>
      <c r="D383" s="7"/>
    </row>
    <row r="384" spans="2:4">
      <c r="B384" s="7"/>
      <c r="C384" s="54"/>
      <c r="D384" s="7"/>
    </row>
    <row r="385" spans="2:4">
      <c r="B385" s="7"/>
      <c r="C385" s="54"/>
      <c r="D385" s="7"/>
    </row>
    <row r="386" spans="2:4">
      <c r="B386" s="7"/>
      <c r="C386" s="54"/>
      <c r="D386" s="7"/>
    </row>
    <row r="387" spans="2:4">
      <c r="B387" s="7"/>
      <c r="C387" s="54"/>
      <c r="D387" s="7"/>
    </row>
    <row r="388" spans="2:4">
      <c r="B388" s="7"/>
      <c r="C388" s="54"/>
      <c r="D388" s="7"/>
    </row>
    <row r="389" spans="2:4">
      <c r="B389" s="7"/>
      <c r="C389" s="54"/>
      <c r="D389" s="7"/>
    </row>
    <row r="390" spans="2:4">
      <c r="B390" s="7"/>
      <c r="C390" s="54"/>
      <c r="D390" s="7"/>
    </row>
    <row r="391" spans="2:4">
      <c r="B391" s="7"/>
      <c r="C391" s="54"/>
      <c r="D391" s="7"/>
    </row>
    <row r="392" spans="2:4">
      <c r="B392" s="7"/>
      <c r="C392" s="54"/>
      <c r="D392" s="7"/>
    </row>
    <row r="393" spans="2:4">
      <c r="B393" s="7"/>
      <c r="C393" s="54"/>
      <c r="D393" s="7"/>
    </row>
    <row r="394" spans="2:4">
      <c r="B394" s="7"/>
      <c r="C394" s="54"/>
      <c r="D394" s="7"/>
    </row>
    <row r="395" spans="2:4">
      <c r="B395" s="7"/>
      <c r="C395" s="54"/>
      <c r="D395" s="7"/>
    </row>
    <row r="396" spans="2:4">
      <c r="B396" s="7"/>
      <c r="C396" s="54"/>
      <c r="D396" s="7"/>
    </row>
    <row r="397" spans="2:4">
      <c r="B397" s="7"/>
      <c r="C397" s="54"/>
      <c r="D397" s="7"/>
    </row>
    <row r="398" spans="2:4">
      <c r="B398" s="7"/>
      <c r="C398" s="54"/>
      <c r="D398" s="7"/>
    </row>
    <row r="399" spans="2:4">
      <c r="B399" s="7"/>
      <c r="C399" s="54"/>
      <c r="D399" s="7"/>
    </row>
    <row r="400" spans="2:4">
      <c r="B400" s="7"/>
      <c r="C400" s="54"/>
      <c r="D400" s="7"/>
    </row>
    <row r="401" spans="2:4">
      <c r="B401" s="7"/>
      <c r="C401" s="54"/>
      <c r="D401" s="7"/>
    </row>
    <row r="402" spans="2:4">
      <c r="B402" s="7"/>
      <c r="C402" s="54"/>
      <c r="D402" s="7"/>
    </row>
    <row r="403" spans="2:4">
      <c r="B403" s="7"/>
      <c r="C403" s="54"/>
      <c r="D403" s="7"/>
    </row>
    <row r="404" spans="2:4">
      <c r="B404" s="7"/>
      <c r="C404" s="54"/>
      <c r="D404" s="7"/>
    </row>
    <row r="405" spans="2:4">
      <c r="B405" s="7"/>
      <c r="C405" s="54"/>
      <c r="D405" s="7"/>
    </row>
    <row r="406" spans="2:4">
      <c r="B406" s="7"/>
      <c r="C406" s="54"/>
      <c r="D406" s="7"/>
    </row>
    <row r="407" spans="2:4">
      <c r="B407" s="7"/>
      <c r="C407" s="54"/>
      <c r="D407" s="7"/>
    </row>
    <row r="408" spans="2:4">
      <c r="B408" s="7"/>
      <c r="C408" s="54"/>
      <c r="D408" s="7"/>
    </row>
    <row r="409" spans="2:4">
      <c r="B409" s="7"/>
      <c r="C409" s="54"/>
      <c r="D409" s="7"/>
    </row>
    <row r="410" spans="2:4">
      <c r="B410" s="7"/>
      <c r="C410" s="54"/>
      <c r="D410" s="7"/>
    </row>
    <row r="411" spans="2:4">
      <c r="B411" s="7"/>
      <c r="C411" s="54"/>
      <c r="D411" s="7"/>
    </row>
    <row r="412" spans="2:4">
      <c r="B412" s="7"/>
      <c r="C412" s="54"/>
      <c r="D412" s="7"/>
    </row>
    <row r="413" spans="2:4">
      <c r="B413" s="7"/>
      <c r="C413" s="54"/>
      <c r="D413" s="7"/>
    </row>
    <row r="414" spans="2:4">
      <c r="B414" s="7"/>
      <c r="C414" s="54"/>
      <c r="D414" s="7"/>
    </row>
    <row r="415" spans="2:4">
      <c r="B415" s="7"/>
      <c r="C415" s="54"/>
      <c r="D415" s="7"/>
    </row>
    <row r="416" spans="2:4">
      <c r="B416" s="7"/>
      <c r="C416" s="54"/>
      <c r="D416" s="7"/>
    </row>
    <row r="417" spans="2:4">
      <c r="B417" s="7"/>
      <c r="C417" s="54"/>
      <c r="D417" s="7"/>
    </row>
    <row r="418" spans="2:4">
      <c r="B418" s="7"/>
      <c r="C418" s="54"/>
      <c r="D418" s="7"/>
    </row>
    <row r="419" spans="2:4">
      <c r="B419" s="7"/>
      <c r="C419" s="54"/>
      <c r="D419" s="7"/>
    </row>
    <row r="420" spans="2:4">
      <c r="B420" s="7"/>
      <c r="C420" s="54"/>
      <c r="D420" s="7"/>
    </row>
    <row r="421" spans="2:4">
      <c r="B421" s="7"/>
      <c r="C421" s="54"/>
      <c r="D421" s="7"/>
    </row>
    <row r="422" spans="2:4">
      <c r="B422" s="7"/>
      <c r="C422" s="54"/>
      <c r="D422" s="7"/>
    </row>
    <row r="423" spans="2:4">
      <c r="B423" s="7"/>
      <c r="C423" s="54"/>
      <c r="D423" s="7"/>
    </row>
    <row r="424" spans="2:4">
      <c r="B424" s="7"/>
      <c r="C424" s="54"/>
      <c r="D424" s="7"/>
    </row>
    <row r="425" spans="2:4">
      <c r="B425" s="7"/>
      <c r="C425" s="54"/>
      <c r="D425" s="7"/>
    </row>
    <row r="426" spans="2:4">
      <c r="B426" s="7"/>
      <c r="C426" s="54"/>
      <c r="D426" s="7"/>
    </row>
    <row r="427" spans="2:4">
      <c r="B427" s="7"/>
      <c r="C427" s="54"/>
      <c r="D427" s="7"/>
    </row>
    <row r="428" spans="2:4">
      <c r="B428" s="7"/>
      <c r="C428" s="54"/>
      <c r="D428" s="7"/>
    </row>
    <row r="429" spans="2:4">
      <c r="B429" s="7"/>
      <c r="C429" s="54"/>
      <c r="D429" s="7"/>
    </row>
    <row r="430" spans="2:4">
      <c r="B430" s="7"/>
      <c r="C430" s="54"/>
      <c r="D430" s="7"/>
    </row>
    <row r="431" spans="2:4">
      <c r="B431" s="7"/>
      <c r="C431" s="54"/>
      <c r="D431" s="7"/>
    </row>
    <row r="432" spans="2:4">
      <c r="B432" s="7"/>
      <c r="C432" s="54"/>
      <c r="D432" s="7"/>
    </row>
    <row r="433" spans="2:4">
      <c r="B433" s="7"/>
      <c r="C433" s="54"/>
      <c r="D433" s="7"/>
    </row>
    <row r="434" spans="2:4">
      <c r="B434" s="7"/>
      <c r="C434" s="54"/>
      <c r="D434" s="7"/>
    </row>
    <row r="435" spans="2:4">
      <c r="B435" s="7"/>
      <c r="C435" s="54"/>
      <c r="D435" s="7"/>
    </row>
  </sheetData>
  <dataValidations count="2">
    <dataValidation type="list" allowBlank="1" showInputMessage="1" showErrorMessage="1" sqref="D13:F13 D4:F4">
      <formula1>STOCK_LISTS</formula1>
    </dataValidation>
    <dataValidation type="list" allowBlank="1" showInputMessage="1" showErrorMessage="1" sqref="H2">
      <formula1>SELECTIONS</formula1>
    </dataValidation>
  </dataValidations>
  <pageMargins left="0.7" right="0.7" top="0.75" bottom="0.75" header="0.3" footer="0.3"/>
  <drawing r:id="rId1"/>
  <legacyDrawing r:id="rId2"/>
  <oleObjects>
    <oleObject progId="Equation.3" shapeId="1028" r:id="rId3"/>
    <oleObject progId="Equation.3" shapeId="1029" r:id="rId4"/>
  </oleObjects>
</worksheet>
</file>

<file path=xl/worksheets/sheet7.xml><?xml version="1.0" encoding="utf-8"?>
<worksheet xmlns="http://schemas.openxmlformats.org/spreadsheetml/2006/main" xmlns:r="http://schemas.openxmlformats.org/officeDocument/2006/relationships">
  <dimension ref="A2:K128"/>
  <sheetViews>
    <sheetView showGridLines="0" zoomScale="85" zoomScaleNormal="85" workbookViewId="0">
      <selection activeCell="J127" sqref="J127:J128"/>
    </sheetView>
  </sheetViews>
  <sheetFormatPr defaultRowHeight="15"/>
  <cols>
    <col min="1" max="1" width="14.42578125" customWidth="1"/>
    <col min="2" max="2" width="15.7109375" customWidth="1"/>
    <col min="3" max="5" width="13" bestFit="1" customWidth="1"/>
    <col min="6" max="6" width="11.42578125" customWidth="1"/>
    <col min="7" max="7" width="12.7109375" bestFit="1" customWidth="1"/>
    <col min="8" max="11" width="12.5703125" bestFit="1" customWidth="1"/>
  </cols>
  <sheetData>
    <row r="2" spans="2:9">
      <c r="B2" s="9" t="s">
        <v>86</v>
      </c>
      <c r="C2" s="9"/>
      <c r="D2" s="9"/>
      <c r="E2" s="9"/>
      <c r="F2" s="9"/>
    </row>
    <row r="3" spans="2:9" ht="15.75" thickBot="1"/>
    <row r="4" spans="2:9" ht="15.75" thickBot="1">
      <c r="B4" s="115" t="s">
        <v>70</v>
      </c>
    </row>
    <row r="6" spans="2:9">
      <c r="B6" s="86" t="s">
        <v>71</v>
      </c>
      <c r="C6" s="86" t="s">
        <v>72</v>
      </c>
      <c r="D6" s="86" t="s">
        <v>73</v>
      </c>
      <c r="E6" s="86" t="s">
        <v>64</v>
      </c>
    </row>
    <row r="7" spans="2:9">
      <c r="B7" s="256" t="s">
        <v>12</v>
      </c>
      <c r="C7" s="61">
        <v>5000</v>
      </c>
      <c r="D7" s="65">
        <f>C7/C9</f>
        <v>0.5</v>
      </c>
      <c r="E7" s="54">
        <f>HLOOKUP(B7,TAB_PORT,2,FALSE)</f>
        <v>-5.6007519530971396E-3</v>
      </c>
      <c r="I7" s="16"/>
    </row>
    <row r="8" spans="2:9">
      <c r="B8" s="257" t="s">
        <v>13</v>
      </c>
      <c r="C8" s="62">
        <v>5000</v>
      </c>
      <c r="D8" s="66">
        <f>C8/C9</f>
        <v>0.5</v>
      </c>
      <c r="E8" s="67">
        <f>HLOOKUP(B8,TAB_PORT,2,FALSE)</f>
        <v>2.910121668392494E-2</v>
      </c>
    </row>
    <row r="9" spans="2:9" ht="15.75" thickBot="1">
      <c r="C9" s="63">
        <f>SUM(C7:C8)</f>
        <v>10000</v>
      </c>
    </row>
    <row r="10" spans="2:9" ht="15.75" thickTop="1">
      <c r="C10" s="75"/>
      <c r="E10" s="73" t="s">
        <v>85</v>
      </c>
      <c r="F10" s="99">
        <f>SUMPRODUCT(D7:D8,E7:E8)</f>
        <v>1.17502323654139E-2</v>
      </c>
    </row>
    <row r="12" spans="2:9" ht="18">
      <c r="B12" s="86" t="s">
        <v>71</v>
      </c>
      <c r="C12" s="87" t="s">
        <v>89</v>
      </c>
      <c r="E12" s="86" t="s">
        <v>90</v>
      </c>
      <c r="F12" s="88" t="s">
        <v>91</v>
      </c>
    </row>
    <row r="13" spans="2:9">
      <c r="B13" s="254" t="str">
        <f>B7</f>
        <v>CCET</v>
      </c>
      <c r="C13" s="54">
        <f>HLOOKUP(B13,TAB_COV,MATCH(B13,COL_COV,0),0)</f>
        <v>2.3729396662700807E-2</v>
      </c>
      <c r="E13" s="64">
        <f>MAX(HLOOKUP(B13,TAB_COV,MATCH(B14,COL_COV,0),FALSE),HLOOKUP(B14,TAB_COV,MATCH(B13,COL_COV,0),FALSE))</f>
        <v>1.5565557224486803E-2</v>
      </c>
      <c r="F13" s="325">
        <f>MAX(HLOOKUP(B13,TAB_CORR,MATCH(B14,COL_CORR,0),0),HLOOKUP(B14,TAB_CORR,MATCH(B13,COL_CORR,0),0))</f>
        <v>0.64963501693691794</v>
      </c>
    </row>
    <row r="14" spans="2:9">
      <c r="B14" s="255" t="str">
        <f>B8</f>
        <v>CPN</v>
      </c>
      <c r="C14" s="67">
        <f>HLOOKUP(B14,TAB_COV,MATCH(B14,COL_COV,0),0)</f>
        <v>2.41937838279511E-2</v>
      </c>
      <c r="D14" s="98"/>
      <c r="E14" s="98"/>
    </row>
    <row r="15" spans="2:9">
      <c r="D15" s="12"/>
      <c r="E15" s="12"/>
    </row>
    <row r="16" spans="2:9" ht="16.5">
      <c r="E16" s="85" t="s">
        <v>87</v>
      </c>
      <c r="F16" s="24">
        <f>(D7^2)*C13+(D8^2)*C14+2*D7*D8*E13</f>
        <v>1.9763573734906378E-2</v>
      </c>
    </row>
    <row r="17" spans="2:6">
      <c r="E17" s="85" t="s">
        <v>88</v>
      </c>
      <c r="F17" s="24">
        <f>SQRT(F16)</f>
        <v>0.14058297811223938</v>
      </c>
    </row>
    <row r="18" spans="2:6">
      <c r="B18" s="89" t="s">
        <v>92</v>
      </c>
      <c r="C18" s="89"/>
      <c r="D18" s="89"/>
      <c r="E18" s="89"/>
      <c r="F18" s="13"/>
    </row>
    <row r="19" spans="2:6">
      <c r="B19" s="7"/>
    </row>
    <row r="20" spans="2:6" ht="15.75" thickBot="1">
      <c r="B20" s="94" t="s">
        <v>93</v>
      </c>
    </row>
    <row r="21" spans="2:6">
      <c r="C21" s="90">
        <f>C13</f>
        <v>2.3729396662700807E-2</v>
      </c>
      <c r="D21" s="91">
        <f>E13</f>
        <v>1.5565557224486803E-2</v>
      </c>
    </row>
    <row r="22" spans="2:6" ht="15.75" thickBot="1">
      <c r="C22" s="92">
        <f>D21</f>
        <v>1.5565557224486803E-2</v>
      </c>
      <c r="D22" s="93">
        <f>C14</f>
        <v>2.41937838279511E-2</v>
      </c>
    </row>
    <row r="23" spans="2:6">
      <c r="E23" s="73" t="s">
        <v>85</v>
      </c>
      <c r="F23" s="27">
        <f t="array" ref="F23">MMULT(TRANSPOSE(D7:D8),E7:E8)</f>
        <v>1.17502323654139E-2</v>
      </c>
    </row>
    <row r="24" spans="2:6" ht="16.5">
      <c r="E24" s="85" t="s">
        <v>87</v>
      </c>
      <c r="F24" s="27">
        <f t="array" ref="F24">MMULT(MMULT(TRANSPOSE(D7:D8),C21:D22),D7:D8)</f>
        <v>1.9763573734906378E-2</v>
      </c>
    </row>
    <row r="25" spans="2:6">
      <c r="E25" s="85" t="s">
        <v>88</v>
      </c>
      <c r="F25" s="27">
        <f>SQRT(F24)</f>
        <v>0.14058297811223938</v>
      </c>
    </row>
    <row r="27" spans="2:6">
      <c r="B27" s="111" t="s">
        <v>98</v>
      </c>
      <c r="C27" s="112"/>
      <c r="D27" s="113"/>
      <c r="E27" s="114"/>
      <c r="F27" s="114"/>
    </row>
    <row r="28" spans="2:6">
      <c r="C28" s="85"/>
      <c r="D28" s="27"/>
      <c r="E28" s="73" t="s">
        <v>85</v>
      </c>
      <c r="F28" s="27">
        <f>F23*12</f>
        <v>0.1410027883849668</v>
      </c>
    </row>
    <row r="29" spans="2:6">
      <c r="E29" s="85" t="s">
        <v>88</v>
      </c>
      <c r="F29" s="27">
        <f>F25*SQRT(12)</f>
        <v>0.486993721539484</v>
      </c>
    </row>
    <row r="30" spans="2:6">
      <c r="E30" s="85"/>
      <c r="F30" s="27"/>
    </row>
    <row r="31" spans="2:6" s="101" customFormat="1" ht="3.75" customHeight="1"/>
    <row r="32" spans="2:6" ht="15.75" thickBot="1"/>
    <row r="33" spans="2:6" ht="15.75" thickBot="1">
      <c r="B33" s="117" t="s">
        <v>95</v>
      </c>
    </row>
    <row r="34" spans="2:6">
      <c r="B34" s="86" t="s">
        <v>71</v>
      </c>
      <c r="C34" s="86" t="s">
        <v>72</v>
      </c>
      <c r="D34" s="86" t="s">
        <v>73</v>
      </c>
      <c r="E34" s="86" t="s">
        <v>64</v>
      </c>
    </row>
    <row r="35" spans="2:6">
      <c r="B35" s="256" t="s">
        <v>12</v>
      </c>
      <c r="C35" s="61">
        <v>5000</v>
      </c>
      <c r="D35" s="65">
        <f>C35/C38</f>
        <v>0.33333333333333331</v>
      </c>
      <c r="E35" s="54">
        <f>HLOOKUP(B35,TAB_PORT,2,FALSE)</f>
        <v>-5.6007519530971396E-3</v>
      </c>
    </row>
    <row r="36" spans="2:6">
      <c r="B36" s="256" t="s">
        <v>13</v>
      </c>
      <c r="C36" s="75">
        <v>5000</v>
      </c>
      <c r="D36" s="76">
        <f>C36/C38</f>
        <v>0.33333333333333331</v>
      </c>
      <c r="E36" s="77">
        <f>HLOOKUP(B36,TAB_PORT,2,FALSE)</f>
        <v>2.910121668392494E-2</v>
      </c>
    </row>
    <row r="37" spans="2:6">
      <c r="B37" s="257" t="s">
        <v>21</v>
      </c>
      <c r="C37" s="62">
        <v>5000</v>
      </c>
      <c r="D37" s="66">
        <f>C37/C38</f>
        <v>0.33333333333333331</v>
      </c>
      <c r="E37" s="67">
        <f>HLOOKUP(B37,TAB_PORT,2,FALSE)</f>
        <v>-3.0384923456632526E-4</v>
      </c>
    </row>
    <row r="38" spans="2:6" ht="15.75" thickBot="1">
      <c r="C38" s="97">
        <f>SUM(C35:C37)</f>
        <v>15000</v>
      </c>
    </row>
    <row r="39" spans="2:6" ht="15.75" thickTop="1"/>
    <row r="40" spans="2:6" ht="18">
      <c r="B40" s="86" t="s">
        <v>71</v>
      </c>
      <c r="C40" s="87" t="s">
        <v>89</v>
      </c>
      <c r="E40" s="86" t="s">
        <v>90</v>
      </c>
      <c r="F40" s="86" t="s">
        <v>97</v>
      </c>
    </row>
    <row r="41" spans="2:6">
      <c r="B41" s="254" t="str">
        <f>B35</f>
        <v>CCET</v>
      </c>
      <c r="C41" s="54">
        <f>HLOOKUP(B41,TAB_COV,MATCH(B41,COL_COV,0),0)</f>
        <v>2.3729396662700807E-2</v>
      </c>
      <c r="E41" s="64">
        <f>MAX(HLOOKUP(B41,TAB_COV,MATCH(B42,COL_COV,0),FALSE),HLOOKUP(B42,TAB_COV,MATCH(B41,COL_COV,0),FALSE))</f>
        <v>1.5565557224486803E-2</v>
      </c>
      <c r="F41" s="64">
        <f>MAX(HLOOKUP(B42,TAB_COV,MATCH(B43,COL_COV,0),FALSE),HLOOKUP(B43,TAB_COV,MATCH(B42,COL_COV,0),FALSE))</f>
        <v>1.6265761754668037E-2</v>
      </c>
    </row>
    <row r="42" spans="2:6" ht="18">
      <c r="B42" s="254" t="str">
        <f>B36</f>
        <v>CPN</v>
      </c>
      <c r="C42" s="54">
        <f>HLOOKUP(B42,TAB_COV,MATCH(B42,COL_COV,0),0)</f>
        <v>2.41937838279511E-2</v>
      </c>
      <c r="D42" s="74"/>
      <c r="E42" s="86" t="s">
        <v>96</v>
      </c>
    </row>
    <row r="43" spans="2:6">
      <c r="B43" s="255" t="str">
        <f>B37</f>
        <v>ITD</v>
      </c>
      <c r="C43" s="67">
        <f>HLOOKUP(B43,TAB_COV,MATCH(B43,COL_COV,0),0)</f>
        <v>2.5424059093742943E-2</v>
      </c>
      <c r="D43" s="98"/>
      <c r="E43" s="64">
        <f>MAX(HLOOKUP(B41,TAB_COV,MATCH(B43,COL_COV,0),FALSE),HLOOKUP(B43,TAB_COV,MATCH(B41,COL_COV,0),FALSE))</f>
        <v>1.6013388895613059E-2</v>
      </c>
    </row>
    <row r="44" spans="2:6">
      <c r="D44" s="12"/>
    </row>
    <row r="46" spans="2:6">
      <c r="B46" s="89" t="s">
        <v>92</v>
      </c>
      <c r="C46" s="89"/>
      <c r="D46" s="89"/>
      <c r="E46" s="89"/>
      <c r="F46" s="13"/>
    </row>
    <row r="47" spans="2:6">
      <c r="B47" s="7"/>
    </row>
    <row r="48" spans="2:6" ht="15.75" thickBot="1">
      <c r="B48" s="94" t="s">
        <v>93</v>
      </c>
    </row>
    <row r="49" spans="2:6">
      <c r="C49" s="90">
        <f>C41</f>
        <v>2.3729396662700807E-2</v>
      </c>
      <c r="D49" s="103">
        <f>E41</f>
        <v>1.5565557224486803E-2</v>
      </c>
      <c r="E49" s="91">
        <f>E43</f>
        <v>1.6013388895613059E-2</v>
      </c>
    </row>
    <row r="50" spans="2:6">
      <c r="C50" s="104">
        <f t="array" ref="C50:C51">TRANSPOSE(D49:E49)</f>
        <v>1.5565557224486803E-2</v>
      </c>
      <c r="D50" s="102">
        <f>C42</f>
        <v>2.41937838279511E-2</v>
      </c>
      <c r="E50" s="105">
        <f>F41</f>
        <v>1.6265761754668037E-2</v>
      </c>
    </row>
    <row r="51" spans="2:6" ht="15.75" thickBot="1">
      <c r="C51" s="92">
        <v>1.6013388895613059E-2</v>
      </c>
      <c r="D51" s="106">
        <f>E50</f>
        <v>1.6265761754668037E-2</v>
      </c>
      <c r="E51" s="93">
        <f>C43</f>
        <v>2.5424059093742943E-2</v>
      </c>
    </row>
    <row r="52" spans="2:6">
      <c r="C52" s="12"/>
      <c r="D52" s="12"/>
      <c r="E52" s="12"/>
    </row>
    <row r="53" spans="2:6">
      <c r="E53" s="73" t="s">
        <v>85</v>
      </c>
      <c r="F53" s="27">
        <f t="array" ref="F53">MMULT(TRANSPOSE(D35:D37),E35:E37)</f>
        <v>7.7322051654204905E-3</v>
      </c>
    </row>
    <row r="54" spans="2:6" ht="16.5">
      <c r="E54" s="85" t="s">
        <v>87</v>
      </c>
      <c r="F54" s="27">
        <f t="array" ref="F54">MMULT(MMULT(TRANSPOSE(D35:D37),C49:E51),D35:D37)</f>
        <v>1.8781850592658959E-2</v>
      </c>
    </row>
    <row r="55" spans="2:6">
      <c r="E55" s="85" t="s">
        <v>88</v>
      </c>
      <c r="F55" s="27">
        <f>SQRT(F54)</f>
        <v>0.13704689194819034</v>
      </c>
    </row>
    <row r="57" spans="2:6">
      <c r="B57" s="118" t="s">
        <v>98</v>
      </c>
      <c r="C57" s="119"/>
      <c r="D57" s="120"/>
      <c r="E57" s="121"/>
      <c r="F57" s="121"/>
    </row>
    <row r="58" spans="2:6">
      <c r="C58" s="85"/>
      <c r="D58" s="27"/>
      <c r="E58" s="73" t="s">
        <v>85</v>
      </c>
      <c r="F58" s="27">
        <f>F53*12</f>
        <v>9.2786461985045893E-2</v>
      </c>
    </row>
    <row r="59" spans="2:6">
      <c r="E59" s="85" t="s">
        <v>88</v>
      </c>
      <c r="F59" s="27">
        <f>F55*SQRT(12)</f>
        <v>0.47474435974733548</v>
      </c>
    </row>
    <row r="61" spans="2:6" s="122" customFormat="1" ht="3.75" customHeight="1"/>
    <row r="62" spans="2:6" ht="15.75" thickBot="1"/>
    <row r="63" spans="2:6" ht="15.75" thickBot="1">
      <c r="B63" s="116" t="s">
        <v>99</v>
      </c>
    </row>
    <row r="64" spans="2:6">
      <c r="B64" s="86" t="s">
        <v>71</v>
      </c>
      <c r="C64" s="86" t="s">
        <v>72</v>
      </c>
      <c r="D64" s="86" t="s">
        <v>73</v>
      </c>
      <c r="E64" s="86" t="s">
        <v>64</v>
      </c>
    </row>
    <row r="65" spans="2:7">
      <c r="B65" s="256" t="s">
        <v>12</v>
      </c>
      <c r="C65" s="61">
        <v>5000</v>
      </c>
      <c r="D65" s="65">
        <f>C65/C70</f>
        <v>0.2</v>
      </c>
      <c r="E65" s="54">
        <f>HLOOKUP(B65,TAB_PORT,2,FALSE)</f>
        <v>-5.6007519530971396E-3</v>
      </c>
    </row>
    <row r="66" spans="2:7">
      <c r="B66" s="256" t="s">
        <v>13</v>
      </c>
      <c r="C66" s="75">
        <v>5000</v>
      </c>
      <c r="D66" s="76">
        <f>C66/C70</f>
        <v>0.2</v>
      </c>
      <c r="E66" s="77">
        <f>HLOOKUP(B66,TAB_PORT,2,FALSE)</f>
        <v>2.910121668392494E-2</v>
      </c>
    </row>
    <row r="67" spans="2:7">
      <c r="B67" s="256" t="s">
        <v>21</v>
      </c>
      <c r="C67" s="75">
        <v>5000</v>
      </c>
      <c r="D67" s="76">
        <f>C67/C70</f>
        <v>0.2</v>
      </c>
      <c r="E67" s="77">
        <f>HLOOKUP(B67,TAB_PORT,2,FALSE)</f>
        <v>-3.0384923456632526E-4</v>
      </c>
    </row>
    <row r="68" spans="2:7">
      <c r="B68" s="256" t="s">
        <v>2</v>
      </c>
      <c r="C68" s="75">
        <v>5000</v>
      </c>
      <c r="D68" s="76">
        <f>C68/C70</f>
        <v>0.2</v>
      </c>
      <c r="E68" s="77">
        <f>HLOOKUP(B68,TAB_PORT,2,FALSE)</f>
        <v>2.0085753826333989E-2</v>
      </c>
    </row>
    <row r="69" spans="2:7">
      <c r="B69" s="257" t="s">
        <v>3</v>
      </c>
      <c r="C69" s="62">
        <v>5000</v>
      </c>
      <c r="D69" s="66">
        <f>C69/C70</f>
        <v>0.2</v>
      </c>
      <c r="E69" s="67">
        <f>HLOOKUP(B69,TAB_PORT,2,FALSE)</f>
        <v>1.8669098789688462E-2</v>
      </c>
    </row>
    <row r="70" spans="2:7" ht="15.75" thickBot="1">
      <c r="C70" s="123">
        <f>SUM(C65:C69)</f>
        <v>25000</v>
      </c>
    </row>
    <row r="71" spans="2:7" ht="15.75" thickTop="1"/>
    <row r="72" spans="2:7">
      <c r="B72" s="89" t="s">
        <v>92</v>
      </c>
      <c r="C72" s="89"/>
      <c r="D72" s="89"/>
      <c r="E72" s="89"/>
      <c r="F72" s="13"/>
      <c r="G72" s="13"/>
    </row>
    <row r="73" spans="2:7">
      <c r="B73" s="7"/>
    </row>
    <row r="74" spans="2:7" ht="15.75" thickBot="1">
      <c r="B74" s="94" t="s">
        <v>93</v>
      </c>
      <c r="C74" s="7" t="str">
        <f t="array" ref="C74:G74">TRANSPOSE(B65:B69)</f>
        <v>CCET</v>
      </c>
      <c r="D74" s="7" t="str">
        <v>CPN</v>
      </c>
      <c r="E74" s="7" t="str">
        <v>ITD</v>
      </c>
      <c r="F74" s="7" t="str">
        <v>ADVANC</v>
      </c>
      <c r="G74" s="7" t="str">
        <v>AOT</v>
      </c>
    </row>
    <row r="75" spans="2:7">
      <c r="B75" s="7" t="str">
        <f t="array" ref="B75:B79">TRANSPOSE(C74:G74)</f>
        <v>CCET</v>
      </c>
      <c r="C75" s="258">
        <f t="shared" ref="C75:G79" si="0">MAX(HLOOKUP(C$74,TAB_COV,MATCH($B75,COL_COV,0),0),HLOOKUP($B75,TAB_COV,MATCH(C$74,COL_COV,0),0))</f>
        <v>2.3729396662700807E-2</v>
      </c>
      <c r="D75" s="259">
        <f t="shared" si="0"/>
        <v>1.5565557224486803E-2</v>
      </c>
      <c r="E75" s="259">
        <f t="shared" si="0"/>
        <v>1.6013388895613059E-2</v>
      </c>
      <c r="F75" s="259">
        <f t="shared" si="0"/>
        <v>1.8232745677242599E-3</v>
      </c>
      <c r="G75" s="260">
        <f t="shared" si="0"/>
        <v>1.6554757306012371E-2</v>
      </c>
    </row>
    <row r="76" spans="2:7">
      <c r="B76" s="7" t="str">
        <v>CPN</v>
      </c>
      <c r="C76" s="261">
        <f t="shared" si="0"/>
        <v>1.5565557224486803E-2</v>
      </c>
      <c r="D76" s="262">
        <f t="shared" si="0"/>
        <v>2.41937838279511E-2</v>
      </c>
      <c r="E76" s="262">
        <f t="shared" si="0"/>
        <v>1.6265761754668037E-2</v>
      </c>
      <c r="F76" s="262">
        <f t="shared" si="0"/>
        <v>5.0251761703464497E-3</v>
      </c>
      <c r="G76" s="263">
        <f t="shared" si="0"/>
        <v>2.0019407106000895E-2</v>
      </c>
    </row>
    <row r="77" spans="2:7">
      <c r="B77" s="7" t="str">
        <v>ITD</v>
      </c>
      <c r="C77" s="261">
        <f t="shared" si="0"/>
        <v>1.6013388895613059E-2</v>
      </c>
      <c r="D77" s="262">
        <f t="shared" si="0"/>
        <v>1.6265761754668037E-2</v>
      </c>
      <c r="E77" s="262">
        <f t="shared" si="0"/>
        <v>2.5424059093742943E-2</v>
      </c>
      <c r="F77" s="262">
        <f t="shared" si="0"/>
        <v>2.5590556981861007E-3</v>
      </c>
      <c r="G77" s="263">
        <f t="shared" si="0"/>
        <v>1.5636711638623041E-2</v>
      </c>
    </row>
    <row r="78" spans="2:7">
      <c r="B78" s="7" t="str">
        <v>ADVANC</v>
      </c>
      <c r="C78" s="261">
        <f t="shared" si="0"/>
        <v>1.8232745677242599E-3</v>
      </c>
      <c r="D78" s="262">
        <f t="shared" si="0"/>
        <v>5.0251761703464497E-3</v>
      </c>
      <c r="E78" s="262">
        <f t="shared" si="0"/>
        <v>2.5590556981861007E-3</v>
      </c>
      <c r="F78" s="262">
        <f t="shared" si="0"/>
        <v>4.3484082500237419E-3</v>
      </c>
      <c r="G78" s="263">
        <f t="shared" si="0"/>
        <v>5.4843867852412825E-3</v>
      </c>
    </row>
    <row r="79" spans="2:7" ht="15.75" thickBot="1">
      <c r="B79" s="7" t="str">
        <v>AOT</v>
      </c>
      <c r="C79" s="264">
        <f t="shared" si="0"/>
        <v>1.6554757306012371E-2</v>
      </c>
      <c r="D79" s="265">
        <f t="shared" si="0"/>
        <v>2.0019407106000895E-2</v>
      </c>
      <c r="E79" s="265">
        <f t="shared" si="0"/>
        <v>1.5636711638623041E-2</v>
      </c>
      <c r="F79" s="265">
        <f t="shared" si="0"/>
        <v>5.4843867852412825E-3</v>
      </c>
      <c r="G79" s="266">
        <f t="shared" si="0"/>
        <v>2.2211200679338648E-2</v>
      </c>
    </row>
    <row r="81" spans="1:7">
      <c r="F81" s="73" t="s">
        <v>85</v>
      </c>
      <c r="G81" s="27">
        <f t="array" ref="G81">MMULT(TRANSPOSE(D65:D69),E65:E69)</f>
        <v>1.2390293622456786E-2</v>
      </c>
    </row>
    <row r="82" spans="1:7" ht="16.5">
      <c r="F82" s="85" t="s">
        <v>87</v>
      </c>
      <c r="G82" s="27">
        <f t="array" ref="G82">MMULT(MMULT(TRANSPOSE(D65:D69),C75:G79),D65:D69)</f>
        <v>1.3192072112302475E-2</v>
      </c>
    </row>
    <row r="83" spans="1:7">
      <c r="F83" s="85" t="s">
        <v>88</v>
      </c>
      <c r="G83" s="27">
        <f>SQRT(G82)</f>
        <v>0.11485674604611815</v>
      </c>
    </row>
    <row r="85" spans="1:7">
      <c r="B85" s="107" t="s">
        <v>98</v>
      </c>
      <c r="C85" s="108"/>
      <c r="D85" s="109"/>
      <c r="E85" s="110"/>
      <c r="F85" s="110"/>
      <c r="G85" s="110"/>
    </row>
    <row r="86" spans="1:7">
      <c r="C86" s="85"/>
      <c r="D86" s="27"/>
      <c r="F86" s="73" t="s">
        <v>85</v>
      </c>
      <c r="G86" s="27">
        <f>G81*12</f>
        <v>0.14868352346948144</v>
      </c>
    </row>
    <row r="87" spans="1:7">
      <c r="F87" s="85" t="s">
        <v>88</v>
      </c>
      <c r="G87" s="27">
        <f>G83*SQRT(12)</f>
        <v>0.39787543948782478</v>
      </c>
    </row>
    <row r="89" spans="1:7" s="124" customFormat="1" ht="3.75" customHeight="1"/>
    <row r="90" spans="1:7" ht="15.75" thickBot="1"/>
    <row r="91" spans="1:7" ht="22.5" thickBot="1">
      <c r="B91" s="639" t="s">
        <v>146</v>
      </c>
      <c r="C91" s="640"/>
      <c r="D91" s="640"/>
      <c r="E91" s="641"/>
    </row>
    <row r="93" spans="1:7">
      <c r="B93" s="125" t="s">
        <v>70</v>
      </c>
      <c r="C93" s="126" t="s">
        <v>95</v>
      </c>
      <c r="D93" s="127" t="s">
        <v>99</v>
      </c>
      <c r="E93" s="251" t="s">
        <v>143</v>
      </c>
    </row>
    <row r="94" spans="1:7">
      <c r="A94" s="94" t="s">
        <v>65</v>
      </c>
      <c r="B94" s="128">
        <f>F29</f>
        <v>0.486993721539484</v>
      </c>
      <c r="C94" s="128">
        <f>F59</f>
        <v>0.47474435974733548</v>
      </c>
      <c r="D94" s="128">
        <f>G87</f>
        <v>0.39787543948782478</v>
      </c>
      <c r="E94" s="253">
        <f>K128</f>
        <v>0.33838533212929872</v>
      </c>
    </row>
    <row r="95" spans="1:7" ht="15.75" thickBot="1"/>
    <row r="96" spans="1:7" ht="15.75" thickBot="1">
      <c r="B96" s="252" t="s">
        <v>143</v>
      </c>
    </row>
    <row r="97" spans="1:11">
      <c r="B97" s="86" t="s">
        <v>71</v>
      </c>
      <c r="C97" s="86" t="s">
        <v>72</v>
      </c>
      <c r="D97" s="86" t="s">
        <v>73</v>
      </c>
      <c r="E97" s="86" t="s">
        <v>64</v>
      </c>
    </row>
    <row r="98" spans="1:11">
      <c r="B98" s="247" t="s">
        <v>12</v>
      </c>
      <c r="C98" s="248">
        <v>5000</v>
      </c>
      <c r="D98" s="249">
        <f>C98/$C$108</f>
        <v>0.1</v>
      </c>
      <c r="E98" s="250">
        <f t="shared" ref="E98:E107" si="1">HLOOKUP(B98,TAB_PORT,2,FALSE)</f>
        <v>-5.6007519530971396E-3</v>
      </c>
    </row>
    <row r="99" spans="1:11">
      <c r="B99" s="71" t="s">
        <v>13</v>
      </c>
      <c r="C99" s="75">
        <v>5000</v>
      </c>
      <c r="D99" s="76">
        <f t="shared" ref="D99:D107" si="2">C99/$C$108</f>
        <v>0.1</v>
      </c>
      <c r="E99" s="77">
        <f t="shared" si="1"/>
        <v>2.910121668392494E-2</v>
      </c>
    </row>
    <row r="100" spans="1:11">
      <c r="B100" s="71" t="s">
        <v>21</v>
      </c>
      <c r="C100" s="75">
        <v>5000</v>
      </c>
      <c r="D100" s="76">
        <f t="shared" si="2"/>
        <v>0.1</v>
      </c>
      <c r="E100" s="77">
        <f t="shared" si="1"/>
        <v>-3.0384923456632526E-4</v>
      </c>
    </row>
    <row r="101" spans="1:11">
      <c r="B101" s="71" t="s">
        <v>2</v>
      </c>
      <c r="C101" s="75">
        <v>5000</v>
      </c>
      <c r="D101" s="76">
        <f t="shared" si="2"/>
        <v>0.1</v>
      </c>
      <c r="E101" s="77">
        <f t="shared" si="1"/>
        <v>2.0085753826333989E-2</v>
      </c>
    </row>
    <row r="102" spans="1:11">
      <c r="B102" s="71" t="s">
        <v>3</v>
      </c>
      <c r="C102" s="75">
        <v>5000</v>
      </c>
      <c r="D102" s="76">
        <f t="shared" si="2"/>
        <v>0.1</v>
      </c>
      <c r="E102" s="77">
        <f t="shared" si="1"/>
        <v>1.8669098789688462E-2</v>
      </c>
    </row>
    <row r="103" spans="1:11">
      <c r="B103" s="71" t="s">
        <v>4</v>
      </c>
      <c r="C103" s="75">
        <v>5000</v>
      </c>
      <c r="D103" s="76">
        <f t="shared" si="2"/>
        <v>0.1</v>
      </c>
      <c r="E103" s="77">
        <f t="shared" si="1"/>
        <v>1.0231568975743814E-2</v>
      </c>
    </row>
    <row r="104" spans="1:11">
      <c r="B104" s="71" t="s">
        <v>5</v>
      </c>
      <c r="C104" s="75">
        <v>5000</v>
      </c>
      <c r="D104" s="76">
        <f t="shared" si="2"/>
        <v>0.1</v>
      </c>
      <c r="E104" s="77">
        <f t="shared" si="1"/>
        <v>2.463454962575877E-2</v>
      </c>
    </row>
    <row r="105" spans="1:11">
      <c r="B105" s="71" t="s">
        <v>6</v>
      </c>
      <c r="C105" s="75">
        <v>5000</v>
      </c>
      <c r="D105" s="76">
        <f t="shared" si="2"/>
        <v>0.1</v>
      </c>
      <c r="E105" s="77">
        <f t="shared" si="1"/>
        <v>1.0425012729918181E-2</v>
      </c>
    </row>
    <row r="106" spans="1:11">
      <c r="B106" s="71" t="s">
        <v>7</v>
      </c>
      <c r="C106" s="75">
        <v>5000</v>
      </c>
      <c r="D106" s="76">
        <f t="shared" si="2"/>
        <v>0.1</v>
      </c>
      <c r="E106" s="77">
        <f t="shared" si="1"/>
        <v>1.0425012729918182E-2</v>
      </c>
    </row>
    <row r="107" spans="1:11">
      <c r="B107" s="72" t="s">
        <v>18</v>
      </c>
      <c r="C107" s="62">
        <v>5000</v>
      </c>
      <c r="D107" s="66">
        <f t="shared" si="2"/>
        <v>0.1</v>
      </c>
      <c r="E107" s="67">
        <f t="shared" si="1"/>
        <v>1.859116021676336E-2</v>
      </c>
    </row>
    <row r="108" spans="1:11" ht="15.75" thickBot="1">
      <c r="C108" s="123">
        <f>SUM(C98:C107)</f>
        <v>50000</v>
      </c>
    </row>
    <row r="109" spans="1:11" ht="15.75" thickTop="1"/>
    <row r="110" spans="1:11" ht="15.75" thickBot="1">
      <c r="B110" s="254" t="str">
        <f t="array" ref="B110:K110">TRANSPOSE(A111:A120)</f>
        <v>CCET</v>
      </c>
      <c r="C110" s="254" t="str">
        <v>CPN</v>
      </c>
      <c r="D110" s="254" t="str">
        <v>ITD</v>
      </c>
      <c r="E110" s="254" t="str">
        <v>ADVANC</v>
      </c>
      <c r="F110" s="254" t="str">
        <v>AOT</v>
      </c>
      <c r="G110" s="254" t="str">
        <v>BBL</v>
      </c>
      <c r="H110" s="254" t="str">
        <v>BGH</v>
      </c>
      <c r="I110" s="254" t="str">
        <v>BECL</v>
      </c>
      <c r="J110" s="254" t="str">
        <v>BAY</v>
      </c>
      <c r="K110" s="254" t="str">
        <v>GLOW</v>
      </c>
    </row>
    <row r="111" spans="1:11">
      <c r="A111" s="254" t="str">
        <f>B98</f>
        <v>CCET</v>
      </c>
      <c r="B111" s="258">
        <f t="shared" ref="B111:K120" si="3">MAX(HLOOKUP(B$110,TAB_COV,MATCH($A111,COL_COV,0),0),HLOOKUP($A111,TAB_COV,MATCH(B$110,COL_COV,0),0))</f>
        <v>2.3729396662700807E-2</v>
      </c>
      <c r="C111" s="267">
        <f t="shared" si="3"/>
        <v>1.5565557224486803E-2</v>
      </c>
      <c r="D111" s="267">
        <f t="shared" si="3"/>
        <v>1.6013388895613059E-2</v>
      </c>
      <c r="E111" s="267">
        <f t="shared" si="3"/>
        <v>1.8232745677242599E-3</v>
      </c>
      <c r="F111" s="267">
        <f t="shared" si="3"/>
        <v>1.6554757306012371E-2</v>
      </c>
      <c r="G111" s="267">
        <f t="shared" si="3"/>
        <v>9.0213656837751562E-3</v>
      </c>
      <c r="H111" s="267">
        <f t="shared" si="3"/>
        <v>1.2510728786290308E-2</v>
      </c>
      <c r="I111" s="267">
        <f t="shared" si="3"/>
        <v>6.6339667700254781E-3</v>
      </c>
      <c r="J111" s="267">
        <f t="shared" si="3"/>
        <v>1.2467722284653229E-2</v>
      </c>
      <c r="K111" s="268">
        <f t="shared" si="3"/>
        <v>8.5455833517648055E-3</v>
      </c>
    </row>
    <row r="112" spans="1:11">
      <c r="A112" s="254" t="str">
        <f t="shared" ref="A112:A120" si="4">B99</f>
        <v>CPN</v>
      </c>
      <c r="B112" s="269">
        <f t="shared" si="3"/>
        <v>1.5565557224486803E-2</v>
      </c>
      <c r="C112" s="270">
        <f t="shared" si="3"/>
        <v>2.41937838279511E-2</v>
      </c>
      <c r="D112" s="270">
        <f t="shared" si="3"/>
        <v>1.6265761754668037E-2</v>
      </c>
      <c r="E112" s="270">
        <f t="shared" si="3"/>
        <v>5.0251761703464497E-3</v>
      </c>
      <c r="F112" s="270">
        <f t="shared" si="3"/>
        <v>2.0019407106000895E-2</v>
      </c>
      <c r="G112" s="270">
        <f t="shared" si="3"/>
        <v>1.1236076720300138E-2</v>
      </c>
      <c r="H112" s="270">
        <f t="shared" si="3"/>
        <v>1.1398073907617214E-2</v>
      </c>
      <c r="I112" s="270">
        <f t="shared" si="3"/>
        <v>9.8820267552456147E-3</v>
      </c>
      <c r="J112" s="270">
        <f t="shared" si="3"/>
        <v>1.1461280390486706E-2</v>
      </c>
      <c r="K112" s="271">
        <f t="shared" si="3"/>
        <v>1.1007713672910906E-2</v>
      </c>
    </row>
    <row r="113" spans="1:11">
      <c r="A113" s="254" t="str">
        <f t="shared" si="4"/>
        <v>ITD</v>
      </c>
      <c r="B113" s="269">
        <f t="shared" si="3"/>
        <v>1.6013388895613059E-2</v>
      </c>
      <c r="C113" s="270">
        <f t="shared" si="3"/>
        <v>1.6265761754668037E-2</v>
      </c>
      <c r="D113" s="270">
        <f t="shared" si="3"/>
        <v>2.5424059093742943E-2</v>
      </c>
      <c r="E113" s="270">
        <f t="shared" si="3"/>
        <v>2.5590556981861007E-3</v>
      </c>
      <c r="F113" s="270">
        <f t="shared" si="3"/>
        <v>1.5636711638623041E-2</v>
      </c>
      <c r="G113" s="270">
        <f t="shared" si="3"/>
        <v>9.7922961328554114E-3</v>
      </c>
      <c r="H113" s="270">
        <f t="shared" si="3"/>
        <v>1.0850361216327478E-2</v>
      </c>
      <c r="I113" s="270">
        <f t="shared" si="3"/>
        <v>5.6240142039591517E-3</v>
      </c>
      <c r="J113" s="270">
        <f t="shared" si="3"/>
        <v>1.094033649923774E-2</v>
      </c>
      <c r="K113" s="271">
        <f t="shared" si="3"/>
        <v>9.9295672457806444E-3</v>
      </c>
    </row>
    <row r="114" spans="1:11">
      <c r="A114" s="254" t="str">
        <f t="shared" si="4"/>
        <v>ADVANC</v>
      </c>
      <c r="B114" s="269">
        <f t="shared" si="3"/>
        <v>1.8232745677242599E-3</v>
      </c>
      <c r="C114" s="270">
        <f t="shared" si="3"/>
        <v>5.0251761703464497E-3</v>
      </c>
      <c r="D114" s="270">
        <f t="shared" si="3"/>
        <v>2.5590556981861007E-3</v>
      </c>
      <c r="E114" s="270">
        <f t="shared" si="3"/>
        <v>4.3484082500237419E-3</v>
      </c>
      <c r="F114" s="270">
        <f t="shared" si="3"/>
        <v>5.4843867852412825E-3</v>
      </c>
      <c r="G114" s="270">
        <f t="shared" si="3"/>
        <v>3.6687308168707002E-3</v>
      </c>
      <c r="H114" s="270">
        <f t="shared" si="3"/>
        <v>2.327658855919124E-3</v>
      </c>
      <c r="I114" s="270">
        <f t="shared" si="3"/>
        <v>2.2936970671964796E-3</v>
      </c>
      <c r="J114" s="270">
        <f t="shared" si="3"/>
        <v>3.1896037827751447E-3</v>
      </c>
      <c r="K114" s="271">
        <f t="shared" si="3"/>
        <v>2.0765603219393609E-3</v>
      </c>
    </row>
    <row r="115" spans="1:11">
      <c r="A115" s="254" t="str">
        <f t="shared" si="4"/>
        <v>AOT</v>
      </c>
      <c r="B115" s="269">
        <f t="shared" si="3"/>
        <v>1.6554757306012371E-2</v>
      </c>
      <c r="C115" s="270">
        <f t="shared" si="3"/>
        <v>2.0019407106000895E-2</v>
      </c>
      <c r="D115" s="270">
        <f t="shared" si="3"/>
        <v>1.5636711638623041E-2</v>
      </c>
      <c r="E115" s="270">
        <f t="shared" si="3"/>
        <v>5.4843867852412825E-3</v>
      </c>
      <c r="F115" s="270">
        <f t="shared" si="3"/>
        <v>2.2211200679338648E-2</v>
      </c>
      <c r="G115" s="270">
        <f t="shared" si="3"/>
        <v>1.1536267762564273E-2</v>
      </c>
      <c r="H115" s="270">
        <f t="shared" si="3"/>
        <v>1.103915124189829E-2</v>
      </c>
      <c r="I115" s="270">
        <f t="shared" si="3"/>
        <v>8.9259766459482536E-3</v>
      </c>
      <c r="J115" s="270">
        <f t="shared" si="3"/>
        <v>1.3624593884490235E-2</v>
      </c>
      <c r="K115" s="271">
        <f t="shared" si="3"/>
        <v>1.0118838780894856E-2</v>
      </c>
    </row>
    <row r="116" spans="1:11">
      <c r="A116" s="254" t="str">
        <f t="shared" si="4"/>
        <v>BBL</v>
      </c>
      <c r="B116" s="269">
        <f t="shared" si="3"/>
        <v>9.0213656837751562E-3</v>
      </c>
      <c r="C116" s="270">
        <f t="shared" si="3"/>
        <v>1.1236076720300138E-2</v>
      </c>
      <c r="D116" s="270">
        <f t="shared" si="3"/>
        <v>9.7922961328554114E-3</v>
      </c>
      <c r="E116" s="270">
        <f t="shared" si="3"/>
        <v>3.6687308168707002E-3</v>
      </c>
      <c r="F116" s="270">
        <f t="shared" si="3"/>
        <v>1.1536267762564273E-2</v>
      </c>
      <c r="G116" s="270">
        <f t="shared" si="3"/>
        <v>1.0457728931111396E-2</v>
      </c>
      <c r="H116" s="270">
        <f t="shared" si="3"/>
        <v>7.2010153687381362E-3</v>
      </c>
      <c r="I116" s="270">
        <f t="shared" si="3"/>
        <v>5.1284564847973689E-3</v>
      </c>
      <c r="J116" s="270">
        <f t="shared" si="3"/>
        <v>1.0379308898030818E-2</v>
      </c>
      <c r="K116" s="271">
        <f t="shared" si="3"/>
        <v>6.0381392802450994E-3</v>
      </c>
    </row>
    <row r="117" spans="1:11">
      <c r="A117" s="254" t="str">
        <f t="shared" si="4"/>
        <v>BGH</v>
      </c>
      <c r="B117" s="269">
        <f t="shared" si="3"/>
        <v>1.2510728786290308E-2</v>
      </c>
      <c r="C117" s="270">
        <f t="shared" si="3"/>
        <v>1.1398073907617214E-2</v>
      </c>
      <c r="D117" s="270">
        <f t="shared" si="3"/>
        <v>1.0850361216327478E-2</v>
      </c>
      <c r="E117" s="270">
        <f t="shared" si="3"/>
        <v>2.327658855919124E-3</v>
      </c>
      <c r="F117" s="270">
        <f t="shared" si="3"/>
        <v>1.103915124189829E-2</v>
      </c>
      <c r="G117" s="270">
        <f t="shared" si="3"/>
        <v>7.2010153687381362E-3</v>
      </c>
      <c r="H117" s="270">
        <f t="shared" si="3"/>
        <v>1.1864475692897261E-2</v>
      </c>
      <c r="I117" s="270">
        <f t="shared" si="3"/>
        <v>5.4059445391740979E-3</v>
      </c>
      <c r="J117" s="270">
        <f t="shared" si="3"/>
        <v>9.2192445217304624E-3</v>
      </c>
      <c r="K117" s="271">
        <f t="shared" si="3"/>
        <v>5.7319354207999527E-3</v>
      </c>
    </row>
    <row r="118" spans="1:11">
      <c r="A118" s="254" t="str">
        <f t="shared" si="4"/>
        <v>BECL</v>
      </c>
      <c r="B118" s="269">
        <f t="shared" si="3"/>
        <v>6.6339667700254781E-3</v>
      </c>
      <c r="C118" s="270">
        <f t="shared" si="3"/>
        <v>9.8820267552456147E-3</v>
      </c>
      <c r="D118" s="270">
        <f t="shared" si="3"/>
        <v>5.6240142039591517E-3</v>
      </c>
      <c r="E118" s="270">
        <f t="shared" si="3"/>
        <v>2.2936970671964796E-3</v>
      </c>
      <c r="F118" s="270">
        <f t="shared" si="3"/>
        <v>8.9259766459482536E-3</v>
      </c>
      <c r="G118" s="270">
        <f t="shared" si="3"/>
        <v>5.1284564847973689E-3</v>
      </c>
      <c r="H118" s="270">
        <f t="shared" si="3"/>
        <v>5.4059445391740979E-3</v>
      </c>
      <c r="I118" s="270">
        <f t="shared" si="3"/>
        <v>6.6520655729612561E-3</v>
      </c>
      <c r="J118" s="270">
        <f t="shared" si="3"/>
        <v>6.017627633149579E-3</v>
      </c>
      <c r="K118" s="271">
        <f t="shared" si="3"/>
        <v>4.0018569578998756E-3</v>
      </c>
    </row>
    <row r="119" spans="1:11">
      <c r="A119" s="254" t="str">
        <f t="shared" si="4"/>
        <v>BAY</v>
      </c>
      <c r="B119" s="269">
        <f t="shared" si="3"/>
        <v>1.2467722284653229E-2</v>
      </c>
      <c r="C119" s="270">
        <f t="shared" si="3"/>
        <v>1.1461280390486706E-2</v>
      </c>
      <c r="D119" s="270">
        <f t="shared" si="3"/>
        <v>1.094033649923774E-2</v>
      </c>
      <c r="E119" s="270">
        <f t="shared" si="3"/>
        <v>3.1896037827751447E-3</v>
      </c>
      <c r="F119" s="270">
        <f t="shared" si="3"/>
        <v>1.3624593884490235E-2</v>
      </c>
      <c r="G119" s="270">
        <f t="shared" si="3"/>
        <v>1.0379308898030818E-2</v>
      </c>
      <c r="H119" s="270">
        <f t="shared" si="3"/>
        <v>9.2192445217304624E-3</v>
      </c>
      <c r="I119" s="270">
        <f t="shared" si="3"/>
        <v>6.017627633149579E-3</v>
      </c>
      <c r="J119" s="270">
        <f t="shared" si="3"/>
        <v>1.4435044276271104E-2</v>
      </c>
      <c r="K119" s="271">
        <f t="shared" si="3"/>
        <v>6.9966644203822859E-3</v>
      </c>
    </row>
    <row r="120" spans="1:11" ht="15.75" thickBot="1">
      <c r="A120" s="254" t="str">
        <f t="shared" si="4"/>
        <v>GLOW</v>
      </c>
      <c r="B120" s="272">
        <f t="shared" si="3"/>
        <v>8.5455833517648055E-3</v>
      </c>
      <c r="C120" s="273">
        <f t="shared" si="3"/>
        <v>1.1007713672910906E-2</v>
      </c>
      <c r="D120" s="273">
        <f t="shared" si="3"/>
        <v>9.9295672457806444E-3</v>
      </c>
      <c r="E120" s="273">
        <f t="shared" si="3"/>
        <v>2.0765603219393609E-3</v>
      </c>
      <c r="F120" s="273">
        <f t="shared" si="3"/>
        <v>1.0118838780894856E-2</v>
      </c>
      <c r="G120" s="273">
        <f t="shared" si="3"/>
        <v>6.0381392802450994E-3</v>
      </c>
      <c r="H120" s="273">
        <f t="shared" si="3"/>
        <v>5.7319354207999527E-3</v>
      </c>
      <c r="I120" s="273">
        <f t="shared" si="3"/>
        <v>4.0018569578998756E-3</v>
      </c>
      <c r="J120" s="273">
        <f t="shared" si="3"/>
        <v>6.9966644203822859E-3</v>
      </c>
      <c r="K120" s="274">
        <f t="shared" si="3"/>
        <v>8.5493851079801696E-3</v>
      </c>
    </row>
    <row r="122" spans="1:11">
      <c r="J122" s="73" t="s">
        <v>85</v>
      </c>
      <c r="K122" s="27">
        <f t="array" ref="K122">MMULT(TRANSPOSE(D98:D107),E98:E107)</f>
        <v>1.3625877239038624E-2</v>
      </c>
    </row>
    <row r="123" spans="1:11">
      <c r="J123" s="73" t="s">
        <v>144</v>
      </c>
      <c r="K123" s="27">
        <f t="array" ref="K123">MMULT(MMULT(TRANSPOSE(D98:D107),B111:K120),D98:D107)</f>
        <v>9.5420527500213181E-3</v>
      </c>
    </row>
    <row r="124" spans="1:11">
      <c r="J124" s="73" t="s">
        <v>145</v>
      </c>
      <c r="K124" s="27">
        <f>SQRT(K123)</f>
        <v>9.7683431297335768E-2</v>
      </c>
    </row>
    <row r="126" spans="1:11">
      <c r="J126" s="275" t="s">
        <v>98</v>
      </c>
      <c r="K126" s="276"/>
    </row>
    <row r="127" spans="1:11">
      <c r="J127" s="73" t="s">
        <v>85</v>
      </c>
      <c r="K127" s="27">
        <f>12*K122</f>
        <v>0.16351052686846348</v>
      </c>
    </row>
    <row r="128" spans="1:11">
      <c r="J128" s="73" t="s">
        <v>145</v>
      </c>
      <c r="K128" s="27">
        <f>SQRT(12)*K124</f>
        <v>0.33838533212929872</v>
      </c>
    </row>
  </sheetData>
  <mergeCells count="1">
    <mergeCell ref="B91:E91"/>
  </mergeCells>
  <dataValidations count="1">
    <dataValidation type="list" allowBlank="1" showInputMessage="1" showErrorMessage="1" sqref="B98:B107 B65:B69 B35:B37 B7:B8">
      <formula1>STOCK_LISTS</formula1>
    </dataValidation>
  </dataValidations>
  <pageMargins left="0.7" right="0.7" top="0.75" bottom="0.75" header="0.3" footer="0.3"/>
  <pageSetup paperSize="9" orientation="portrait" r:id="rId1"/>
  <legacyDrawing r:id="rId2"/>
  <oleObjects>
    <oleObject progId="Equation.3" shapeId="4098" r:id="rId3"/>
    <oleObject progId="Equation.3" shapeId="4100" r:id="rId4"/>
    <oleObject progId="Equation.3" shapeId="4102" r:id="rId5"/>
  </oleObjects>
</worksheet>
</file>

<file path=xl/worksheets/sheet8.xml><?xml version="1.0" encoding="utf-8"?>
<worksheet xmlns="http://schemas.openxmlformats.org/spreadsheetml/2006/main" xmlns:r="http://schemas.openxmlformats.org/officeDocument/2006/relationships">
  <dimension ref="A3:L153"/>
  <sheetViews>
    <sheetView showGridLines="0" topLeftCell="A133" workbookViewId="0">
      <selection activeCell="F107" sqref="F107"/>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2" ht="22.5">
      <c r="A3" s="633" t="s">
        <v>120</v>
      </c>
      <c r="B3" s="634"/>
      <c r="C3" s="634"/>
      <c r="D3" s="634"/>
      <c r="E3" s="634"/>
      <c r="F3" s="634"/>
      <c r="G3" s="634"/>
      <c r="H3" s="634"/>
      <c r="I3" s="634"/>
      <c r="J3" s="634"/>
      <c r="K3" s="634"/>
      <c r="L3" s="634"/>
    </row>
    <row r="5" spans="1:12">
      <c r="A5" s="183" t="s">
        <v>121</v>
      </c>
      <c r="B5" s="184"/>
      <c r="C5" s="184"/>
      <c r="D5" s="184"/>
      <c r="E5" s="184"/>
      <c r="F5" s="184"/>
      <c r="G5" s="185"/>
      <c r="H5" s="185"/>
      <c r="I5" s="185"/>
      <c r="J5" s="185"/>
      <c r="K5" s="185"/>
      <c r="L5" s="185"/>
    </row>
    <row r="6" spans="1:12" ht="15.75" thickBot="1">
      <c r="A6" s="130"/>
      <c r="B6" s="130"/>
      <c r="C6" s="186"/>
      <c r="D6" s="186"/>
      <c r="E6" s="130"/>
      <c r="F6" s="130"/>
    </row>
    <row r="7" spans="1:12" ht="15.75">
      <c r="A7" s="187" t="s">
        <v>122</v>
      </c>
      <c r="B7" s="188"/>
      <c r="C7" s="188"/>
      <c r="D7" s="189"/>
      <c r="E7" s="189"/>
      <c r="F7" s="190"/>
    </row>
    <row r="8" spans="1:12">
      <c r="A8" s="191"/>
      <c r="B8" s="192"/>
      <c r="C8" s="192"/>
      <c r="D8" s="193"/>
      <c r="E8" s="193"/>
      <c r="F8" s="194"/>
    </row>
    <row r="9" spans="1:12">
      <c r="A9" s="145"/>
      <c r="B9" s="145"/>
      <c r="C9" s="195"/>
      <c r="D9" s="195" t="s">
        <v>123</v>
      </c>
      <c r="E9" s="196"/>
      <c r="F9" s="194"/>
    </row>
    <row r="10" spans="1:12" ht="15.75" thickBot="1">
      <c r="A10" s="145"/>
      <c r="B10" s="145"/>
      <c r="C10" s="197" t="s">
        <v>106</v>
      </c>
      <c r="D10" s="197" t="s">
        <v>124</v>
      </c>
      <c r="E10" s="196"/>
      <c r="F10" s="194"/>
    </row>
    <row r="11" spans="1:12">
      <c r="A11" s="145"/>
      <c r="B11" s="145"/>
      <c r="C11" s="198">
        <v>2008</v>
      </c>
      <c r="D11" s="199">
        <v>0.15</v>
      </c>
      <c r="E11" s="200"/>
      <c r="F11" s="194"/>
    </row>
    <row r="12" spans="1:12">
      <c r="A12" s="145"/>
      <c r="B12" s="145"/>
      <c r="C12" s="198">
        <f>C11+1</f>
        <v>2009</v>
      </c>
      <c r="D12" s="199">
        <v>-0.05</v>
      </c>
      <c r="E12" s="200"/>
      <c r="F12" s="194"/>
    </row>
    <row r="13" spans="1:12">
      <c r="A13" s="145"/>
      <c r="B13" s="145"/>
      <c r="C13" s="198">
        <f>C12+1</f>
        <v>2010</v>
      </c>
      <c r="D13" s="199">
        <v>0.2</v>
      </c>
      <c r="E13" s="200"/>
      <c r="F13" s="194"/>
    </row>
    <row r="14" spans="1:12" ht="15.75" thickBot="1">
      <c r="A14" s="145"/>
      <c r="B14" s="145"/>
      <c r="C14" s="201"/>
      <c r="D14" s="202"/>
      <c r="E14" s="203"/>
      <c r="F14" s="194"/>
    </row>
    <row r="15" spans="1:12" ht="15.75" thickBot="1">
      <c r="A15" s="145"/>
      <c r="B15" s="145"/>
      <c r="C15" s="167" t="s">
        <v>125</v>
      </c>
      <c r="D15" s="204">
        <f>AVERAGE(D11:D13)</f>
        <v>9.9999999999999992E-2</v>
      </c>
      <c r="E15" s="203"/>
      <c r="F15" s="194"/>
    </row>
    <row r="16" spans="1:12" ht="15.75" thickBot="1">
      <c r="A16" s="205"/>
      <c r="B16" s="206"/>
      <c r="C16" s="167" t="s">
        <v>126</v>
      </c>
      <c r="D16" s="204">
        <f>STDEV(D11:D13)</f>
        <v>0.13228756555322954</v>
      </c>
      <c r="E16" s="207"/>
      <c r="F16" s="194"/>
      <c r="H16" s="208" t="s">
        <v>127</v>
      </c>
      <c r="I16" s="208"/>
      <c r="J16" s="208"/>
    </row>
    <row r="17" spans="1:12" ht="15.75" thickBot="1">
      <c r="A17" s="141"/>
      <c r="B17" s="143"/>
      <c r="C17" s="209"/>
      <c r="D17" s="210"/>
      <c r="E17" s="211"/>
      <c r="F17" s="169"/>
    </row>
    <row r="19" spans="1:12" ht="15.75">
      <c r="A19" s="212" t="s">
        <v>128</v>
      </c>
      <c r="B19" s="184"/>
      <c r="C19" s="184"/>
      <c r="D19" s="184"/>
      <c r="E19" s="184"/>
      <c r="F19" s="184"/>
      <c r="G19" s="184"/>
      <c r="H19" s="185"/>
      <c r="I19" s="185"/>
      <c r="J19" s="185"/>
      <c r="K19" s="185"/>
      <c r="L19" s="185"/>
    </row>
    <row r="20" spans="1:12">
      <c r="A20" s="186"/>
      <c r="B20" s="213"/>
      <c r="C20" s="214"/>
      <c r="D20" s="215"/>
      <c r="E20" s="130"/>
      <c r="F20" s="130"/>
      <c r="G20" s="130"/>
    </row>
    <row r="21" spans="1:12" ht="15.75">
      <c r="A21" s="129" t="s">
        <v>129</v>
      </c>
      <c r="B21" s="213"/>
      <c r="C21" s="214"/>
      <c r="D21" s="215"/>
      <c r="E21" s="130"/>
      <c r="F21" s="130"/>
      <c r="G21" s="130"/>
    </row>
    <row r="22" spans="1:12">
      <c r="A22" s="186"/>
      <c r="B22" s="213"/>
      <c r="C22" s="214"/>
      <c r="D22" s="215"/>
      <c r="E22" s="130"/>
      <c r="F22" s="130"/>
      <c r="G22" s="130"/>
    </row>
    <row r="23" spans="1:12">
      <c r="A23" s="635" t="s">
        <v>130</v>
      </c>
      <c r="B23" s="635"/>
      <c r="C23" s="635"/>
      <c r="D23" s="635"/>
      <c r="E23" s="635"/>
      <c r="F23" s="635"/>
      <c r="G23" s="130"/>
    </row>
    <row r="24" spans="1:12">
      <c r="A24" s="635"/>
      <c r="B24" s="635"/>
      <c r="C24" s="635"/>
      <c r="D24" s="635"/>
      <c r="E24" s="635"/>
      <c r="F24" s="635"/>
      <c r="G24" s="130"/>
    </row>
    <row r="25" spans="1:12">
      <c r="A25" s="635"/>
      <c r="B25" s="635"/>
      <c r="C25" s="635"/>
      <c r="D25" s="635"/>
      <c r="E25" s="635"/>
      <c r="F25" s="635"/>
      <c r="G25" s="130"/>
    </row>
    <row r="26" spans="1:12" ht="15.75" thickBot="1">
      <c r="A26" s="216"/>
      <c r="B26" s="130"/>
      <c r="C26" s="130"/>
      <c r="D26" s="130"/>
      <c r="E26" s="130"/>
      <c r="F26" s="130"/>
      <c r="G26" s="130"/>
    </row>
    <row r="27" spans="1:12" ht="15.75">
      <c r="A27" s="217" t="s">
        <v>131</v>
      </c>
      <c r="B27" s="218"/>
      <c r="C27" s="218"/>
      <c r="D27" s="219"/>
      <c r="E27" s="219"/>
      <c r="F27" s="130"/>
      <c r="G27" s="130"/>
    </row>
    <row r="28" spans="1:12" ht="16.5" thickBot="1">
      <c r="A28" s="220"/>
      <c r="B28" s="221"/>
      <c r="C28" s="221"/>
      <c r="D28" s="222"/>
      <c r="E28" s="222"/>
      <c r="F28" s="130"/>
      <c r="G28" s="130"/>
    </row>
    <row r="29" spans="1:12" ht="39" thickBot="1">
      <c r="A29" s="223" t="s">
        <v>71</v>
      </c>
      <c r="B29" s="224" t="s">
        <v>132</v>
      </c>
      <c r="C29" s="225" t="s">
        <v>133</v>
      </c>
      <c r="D29" s="226" t="s">
        <v>134</v>
      </c>
      <c r="E29" s="227" t="s">
        <v>135</v>
      </c>
      <c r="F29" s="130"/>
      <c r="G29" s="130"/>
    </row>
    <row r="30" spans="1:12">
      <c r="A30" s="228" t="s">
        <v>136</v>
      </c>
      <c r="B30" s="229">
        <v>300000</v>
      </c>
      <c r="C30" s="230">
        <f>B30/$B$34</f>
        <v>0.3</v>
      </c>
      <c r="D30" s="231">
        <v>0.15</v>
      </c>
      <c r="E30" s="232">
        <f>C30*D30</f>
        <v>4.4999999999999998E-2</v>
      </c>
      <c r="F30" s="130"/>
      <c r="G30" s="130"/>
    </row>
    <row r="31" spans="1:12">
      <c r="A31" s="228" t="s">
        <v>137</v>
      </c>
      <c r="B31" s="229">
        <v>100000</v>
      </c>
      <c r="C31" s="230">
        <f>B31/$B$34</f>
        <v>0.1</v>
      </c>
      <c r="D31" s="231">
        <v>0.12</v>
      </c>
      <c r="E31" s="232">
        <f>C31*D31</f>
        <v>1.2E-2</v>
      </c>
      <c r="F31" s="130"/>
      <c r="G31" s="130"/>
    </row>
    <row r="32" spans="1:12">
      <c r="A32" s="228" t="s">
        <v>138</v>
      </c>
      <c r="B32" s="229">
        <v>200000</v>
      </c>
      <c r="C32" s="230">
        <f>B32/$B$34</f>
        <v>0.2</v>
      </c>
      <c r="D32" s="231">
        <v>0.1</v>
      </c>
      <c r="E32" s="232">
        <f>C32*D32</f>
        <v>2.0000000000000004E-2</v>
      </c>
      <c r="F32" s="130"/>
      <c r="G32" s="130"/>
    </row>
    <row r="33" spans="1:7">
      <c r="A33" s="228" t="s">
        <v>139</v>
      </c>
      <c r="B33" s="233">
        <v>400000</v>
      </c>
      <c r="C33" s="234">
        <f>B33/$B$34</f>
        <v>0.4</v>
      </c>
      <c r="D33" s="231">
        <v>0.09</v>
      </c>
      <c r="E33" s="235">
        <f>C33*D33</f>
        <v>3.5999999999999997E-2</v>
      </c>
      <c r="F33" s="130"/>
      <c r="G33" s="130"/>
    </row>
    <row r="34" spans="1:7">
      <c r="A34" s="236" t="s">
        <v>140</v>
      </c>
      <c r="B34" s="229">
        <f>SUM(B30:B33)</f>
        <v>1000000</v>
      </c>
      <c r="C34" s="237">
        <f>SUM(C30:C33)</f>
        <v>1</v>
      </c>
      <c r="D34" s="231"/>
      <c r="E34" s="232"/>
      <c r="F34" s="130"/>
      <c r="G34" s="130"/>
    </row>
    <row r="35" spans="1:7" ht="15.75" thickBot="1">
      <c r="A35" s="228"/>
      <c r="B35" s="195"/>
      <c r="C35" s="145"/>
      <c r="D35" s="238"/>
      <c r="E35" s="239"/>
      <c r="F35" s="130"/>
      <c r="G35" s="130"/>
    </row>
    <row r="36" spans="1:7" ht="15.75" thickBot="1">
      <c r="A36" s="141"/>
      <c r="B36" s="197"/>
      <c r="C36" s="240"/>
      <c r="D36" s="241" t="s">
        <v>141</v>
      </c>
      <c r="E36" s="242">
        <f>SUM(E30:E33)</f>
        <v>0.11299999999999999</v>
      </c>
      <c r="F36" s="130"/>
      <c r="G36" s="130"/>
    </row>
    <row r="37" spans="1:7">
      <c r="A37" s="243"/>
      <c r="B37" s="130"/>
      <c r="C37" s="130"/>
      <c r="D37" s="130"/>
      <c r="E37" s="130"/>
      <c r="F37" s="130"/>
      <c r="G37" s="130"/>
    </row>
    <row r="38" spans="1:7" ht="15.75">
      <c r="A38" s="129" t="s">
        <v>100</v>
      </c>
      <c r="B38" s="130"/>
      <c r="C38" s="130"/>
      <c r="D38" s="130"/>
      <c r="E38" s="130"/>
      <c r="F38" s="130"/>
      <c r="G38" s="130"/>
    </row>
    <row r="39" spans="1:7" ht="15.75">
      <c r="A39" s="131"/>
      <c r="B39" s="130"/>
      <c r="C39" s="130"/>
      <c r="D39" s="130"/>
      <c r="E39" s="130"/>
      <c r="F39" s="130"/>
      <c r="G39" s="130"/>
    </row>
    <row r="40" spans="1:7">
      <c r="A40" s="635" t="s">
        <v>101</v>
      </c>
      <c r="B40" s="635"/>
      <c r="C40" s="635"/>
      <c r="D40" s="635"/>
      <c r="E40" s="635"/>
      <c r="F40" s="635"/>
      <c r="G40" s="132"/>
    </row>
    <row r="41" spans="1:7">
      <c r="A41" s="635"/>
      <c r="B41" s="635"/>
      <c r="C41" s="635"/>
      <c r="D41" s="635"/>
      <c r="E41" s="635"/>
      <c r="F41" s="635"/>
      <c r="G41" s="132"/>
    </row>
    <row r="42" spans="1:7">
      <c r="A42" s="635"/>
      <c r="B42" s="635"/>
      <c r="C42" s="635"/>
      <c r="D42" s="635"/>
      <c r="E42" s="635"/>
      <c r="F42" s="635"/>
      <c r="G42" s="132"/>
    </row>
    <row r="43" spans="1:7">
      <c r="A43" s="635"/>
      <c r="B43" s="635"/>
      <c r="C43" s="635"/>
      <c r="D43" s="635"/>
      <c r="E43" s="635"/>
      <c r="F43" s="635"/>
      <c r="G43" s="132"/>
    </row>
    <row r="44" spans="1:7">
      <c r="A44" s="133"/>
      <c r="B44" s="134"/>
      <c r="C44" s="134"/>
      <c r="D44" s="134"/>
      <c r="E44" s="134"/>
      <c r="F44" s="134"/>
      <c r="G44" s="132"/>
    </row>
    <row r="45" spans="1:7" ht="15.75" thickBot="1">
      <c r="A45" s="133"/>
      <c r="B45" s="134"/>
      <c r="C45" s="134"/>
      <c r="D45" s="134"/>
      <c r="E45" s="134"/>
      <c r="F45" s="134"/>
      <c r="G45" s="132"/>
    </row>
    <row r="46" spans="1:7" ht="15.75">
      <c r="A46" s="135" t="s">
        <v>102</v>
      </c>
      <c r="B46" s="136"/>
      <c r="C46" s="136"/>
      <c r="D46" s="136"/>
      <c r="E46" s="136"/>
      <c r="F46" s="136"/>
      <c r="G46" s="137"/>
    </row>
    <row r="47" spans="1:7" ht="15.75">
      <c r="A47" s="138"/>
      <c r="B47" s="139"/>
      <c r="C47" s="139"/>
      <c r="D47" s="139"/>
      <c r="E47" s="139"/>
      <c r="F47" s="139"/>
      <c r="G47" s="140"/>
    </row>
    <row r="48" spans="1:7" ht="15.75">
      <c r="A48" s="138"/>
      <c r="B48" s="139"/>
      <c r="C48" s="139"/>
      <c r="D48" s="139"/>
      <c r="E48" s="139"/>
      <c r="F48" s="139"/>
      <c r="G48" s="140"/>
    </row>
    <row r="49" spans="1:7" ht="15.75">
      <c r="A49" s="138"/>
      <c r="B49" s="139"/>
      <c r="C49" s="139"/>
      <c r="D49" s="139"/>
      <c r="E49" s="139"/>
      <c r="F49" s="139"/>
      <c r="G49" s="140"/>
    </row>
    <row r="50" spans="1:7" ht="15.75">
      <c r="A50" s="138"/>
      <c r="B50" s="139"/>
      <c r="C50" s="139"/>
      <c r="D50" s="139"/>
      <c r="E50" s="139"/>
      <c r="F50" s="139"/>
      <c r="G50" s="140"/>
    </row>
    <row r="51" spans="1:7" ht="15.75">
      <c r="A51" s="138"/>
      <c r="B51" s="139"/>
      <c r="C51" s="139"/>
      <c r="D51" s="139"/>
      <c r="E51" s="139"/>
      <c r="F51" s="139"/>
      <c r="G51" s="140"/>
    </row>
    <row r="52" spans="1:7" ht="15.75">
      <c r="A52" s="138"/>
      <c r="B52" s="139"/>
      <c r="C52" s="139"/>
      <c r="D52" s="139"/>
      <c r="E52" s="139"/>
      <c r="F52" s="139"/>
      <c r="G52" s="140"/>
    </row>
    <row r="53" spans="1:7" ht="15.75">
      <c r="A53" s="138"/>
      <c r="B53" s="139"/>
      <c r="C53" s="139"/>
      <c r="D53" s="139"/>
      <c r="E53" s="139"/>
      <c r="F53" s="139"/>
      <c r="G53" s="140"/>
    </row>
    <row r="54" spans="1:7" ht="15.75">
      <c r="A54" s="138"/>
      <c r="B54" s="139"/>
      <c r="C54" s="139"/>
      <c r="D54" s="139"/>
      <c r="E54" s="139"/>
      <c r="F54" s="139"/>
      <c r="G54" s="140"/>
    </row>
    <row r="55" spans="1:7" ht="15.75">
      <c r="A55" s="138"/>
      <c r="B55" s="139"/>
      <c r="C55" s="139"/>
      <c r="D55" s="139"/>
      <c r="E55" s="139"/>
      <c r="F55" s="139"/>
      <c r="G55" s="140"/>
    </row>
    <row r="56" spans="1:7" ht="15.75">
      <c r="A56" s="138"/>
      <c r="B56" s="139"/>
      <c r="C56" s="139"/>
      <c r="D56" s="139"/>
      <c r="E56" s="139"/>
      <c r="F56" s="139"/>
      <c r="G56" s="140"/>
    </row>
    <row r="57" spans="1:7" ht="15.75">
      <c r="A57" s="138"/>
      <c r="B57" s="139"/>
      <c r="C57" s="139"/>
      <c r="D57" s="139"/>
      <c r="E57" s="139"/>
      <c r="F57" s="139"/>
      <c r="G57" s="140"/>
    </row>
    <row r="58" spans="1:7" ht="15.75">
      <c r="A58" s="138"/>
      <c r="B58" s="139"/>
      <c r="C58" s="139"/>
      <c r="D58" s="139"/>
      <c r="E58" s="139"/>
      <c r="F58" s="139"/>
      <c r="G58" s="140"/>
    </row>
    <row r="59" spans="1:7" ht="15.75">
      <c r="A59" s="138"/>
      <c r="B59" s="139"/>
      <c r="C59" s="139"/>
      <c r="D59" s="139"/>
      <c r="E59" s="139"/>
      <c r="F59" s="139"/>
      <c r="G59" s="140"/>
    </row>
    <row r="60" spans="1:7" ht="15.75">
      <c r="A60" s="138"/>
      <c r="B60" s="139"/>
      <c r="C60" s="139"/>
      <c r="D60" s="139"/>
      <c r="E60" s="139"/>
      <c r="F60" s="139"/>
      <c r="G60" s="140"/>
    </row>
    <row r="61" spans="1:7" ht="15.75">
      <c r="A61" s="138"/>
      <c r="B61" s="139"/>
      <c r="C61" s="139"/>
      <c r="D61" s="139"/>
      <c r="E61" s="139"/>
      <c r="F61" s="139"/>
      <c r="G61" s="140"/>
    </row>
    <row r="62" spans="1:7" ht="15.75" thickBot="1">
      <c r="A62" s="141"/>
      <c r="B62" s="142" t="s">
        <v>103</v>
      </c>
      <c r="C62" s="143"/>
      <c r="D62" s="144" t="s">
        <v>104</v>
      </c>
      <c r="E62" s="145"/>
      <c r="F62" s="146"/>
      <c r="G62" s="147"/>
    </row>
    <row r="63" spans="1:7" ht="15.75" thickBot="1">
      <c r="A63" s="148" t="s">
        <v>105</v>
      </c>
      <c r="B63" s="149">
        <v>0.5</v>
      </c>
      <c r="C63" s="143"/>
      <c r="D63" s="149">
        <f>1-B63</f>
        <v>0.5</v>
      </c>
      <c r="E63" s="145"/>
      <c r="F63" s="145"/>
      <c r="G63" s="150"/>
    </row>
    <row r="64" spans="1:7" ht="15.75" thickBot="1">
      <c r="A64" s="141"/>
      <c r="B64" s="143"/>
      <c r="C64" s="143"/>
      <c r="D64" s="143"/>
      <c r="E64" s="143"/>
      <c r="F64" s="143"/>
      <c r="G64" s="150"/>
    </row>
    <row r="65" spans="1:7" ht="15.75" thickBot="1">
      <c r="A65" s="151" t="s">
        <v>106</v>
      </c>
      <c r="B65" s="142" t="s">
        <v>103</v>
      </c>
      <c r="C65" s="143"/>
      <c r="D65" s="144" t="s">
        <v>104</v>
      </c>
      <c r="E65" s="143"/>
      <c r="F65" s="152" t="s">
        <v>107</v>
      </c>
      <c r="G65" s="150"/>
    </row>
    <row r="66" spans="1:7">
      <c r="A66" s="153">
        <v>2006</v>
      </c>
      <c r="B66" s="154">
        <v>0.4</v>
      </c>
      <c r="C66" s="145"/>
      <c r="D66" s="155">
        <v>-0.1</v>
      </c>
      <c r="E66" s="145"/>
      <c r="F66" s="156">
        <f>$B$63*B66+$D$63*D66</f>
        <v>0.15000000000000002</v>
      </c>
      <c r="G66" s="150"/>
    </row>
    <row r="67" spans="1:7">
      <c r="A67" s="153">
        <v>2007</v>
      </c>
      <c r="B67" s="154">
        <v>-0.1</v>
      </c>
      <c r="C67" s="145"/>
      <c r="D67" s="155">
        <v>0.4</v>
      </c>
      <c r="E67" s="145"/>
      <c r="F67" s="156">
        <f t="shared" ref="F67:F69" si="0">$B$63*B67+$D$63*D67</f>
        <v>0.15000000000000002</v>
      </c>
      <c r="G67" s="150"/>
    </row>
    <row r="68" spans="1:7">
      <c r="A68" s="153">
        <v>2008</v>
      </c>
      <c r="B68" s="154">
        <v>0.35</v>
      </c>
      <c r="C68" s="145"/>
      <c r="D68" s="155">
        <v>-0.05</v>
      </c>
      <c r="E68" s="145"/>
      <c r="F68" s="156">
        <f t="shared" si="0"/>
        <v>0.15</v>
      </c>
      <c r="G68" s="150"/>
    </row>
    <row r="69" spans="1:7">
      <c r="A69" s="153">
        <v>2009</v>
      </c>
      <c r="B69" s="154">
        <v>-0.05</v>
      </c>
      <c r="C69" s="145"/>
      <c r="D69" s="155">
        <v>0.35</v>
      </c>
      <c r="E69" s="145"/>
      <c r="F69" s="156">
        <f t="shared" si="0"/>
        <v>0.15</v>
      </c>
      <c r="G69" s="150"/>
    </row>
    <row r="70" spans="1:7" ht="15.75" thickBot="1">
      <c r="A70" s="157">
        <v>2010</v>
      </c>
      <c r="B70" s="158">
        <v>0.15</v>
      </c>
      <c r="C70" s="145"/>
      <c r="D70" s="159">
        <v>0.15</v>
      </c>
      <c r="E70" s="145"/>
      <c r="F70" s="160">
        <f>$B$63*B70+$D$63*D70</f>
        <v>0.15</v>
      </c>
      <c r="G70" s="150"/>
    </row>
    <row r="71" spans="1:7">
      <c r="A71" s="161" t="s">
        <v>108</v>
      </c>
      <c r="B71" s="162">
        <f>AVERAGE(B66:B70)</f>
        <v>0.15</v>
      </c>
      <c r="C71" s="145"/>
      <c r="D71" s="163">
        <f>AVERAGE(D66:D70)</f>
        <v>0.15000000000000002</v>
      </c>
      <c r="E71" s="145"/>
      <c r="F71" s="164">
        <f>AVERAGE(F66:F70)</f>
        <v>0.15000000000000002</v>
      </c>
      <c r="G71" s="150"/>
    </row>
    <row r="72" spans="1:7">
      <c r="A72" s="161" t="s">
        <v>109</v>
      </c>
      <c r="B72" s="162">
        <f>STDEV(B66:B70)</f>
        <v>0.22638462845343546</v>
      </c>
      <c r="C72" s="145"/>
      <c r="D72" s="163">
        <f>STDEV(D66:D70)</f>
        <v>0.22638462845343543</v>
      </c>
      <c r="E72" s="145"/>
      <c r="F72" s="164">
        <f>STDEV(F66:F70)</f>
        <v>2.4037033579794548E-17</v>
      </c>
      <c r="G72" s="150"/>
    </row>
    <row r="73" spans="1:7" ht="15.75" thickBot="1">
      <c r="A73" s="165"/>
      <c r="B73" s="145"/>
      <c r="C73" s="145"/>
      <c r="D73" s="145"/>
      <c r="E73" s="145"/>
      <c r="F73" s="145"/>
      <c r="G73" s="150"/>
    </row>
    <row r="74" spans="1:7" ht="15.75" thickBot="1">
      <c r="A74" s="165"/>
      <c r="B74" s="166"/>
      <c r="C74" s="145"/>
      <c r="D74" s="167" t="s">
        <v>110</v>
      </c>
      <c r="E74" s="145"/>
      <c r="F74" s="168">
        <f>CORREL(B66:B70,D66:D70)</f>
        <v>-1.0000000000000002</v>
      </c>
      <c r="G74" s="150"/>
    </row>
    <row r="75" spans="1:7" ht="15.75" thickBot="1">
      <c r="A75" s="141"/>
      <c r="B75" s="143"/>
      <c r="C75" s="143"/>
      <c r="D75" s="143"/>
      <c r="E75" s="143"/>
      <c r="F75" s="143"/>
      <c r="G75" s="169"/>
    </row>
    <row r="76" spans="1:7">
      <c r="A76" s="130"/>
      <c r="B76" s="130"/>
      <c r="C76" s="130"/>
      <c r="D76" s="130"/>
      <c r="E76" s="130"/>
      <c r="F76" s="130"/>
      <c r="G76" s="130"/>
    </row>
    <row r="77" spans="1:7">
      <c r="A77" s="635" t="s">
        <v>111</v>
      </c>
      <c r="B77" s="635"/>
      <c r="C77" s="635"/>
      <c r="D77" s="635"/>
      <c r="E77" s="635"/>
      <c r="F77" s="635"/>
      <c r="G77" s="130"/>
    </row>
    <row r="78" spans="1:7">
      <c r="A78" s="635"/>
      <c r="B78" s="635"/>
      <c r="C78" s="635"/>
      <c r="D78" s="635"/>
      <c r="E78" s="635"/>
      <c r="F78" s="635"/>
      <c r="G78" s="170"/>
    </row>
    <row r="79" spans="1:7">
      <c r="A79" s="134"/>
      <c r="B79" s="134"/>
      <c r="C79" s="134"/>
      <c r="D79" s="134"/>
      <c r="E79" s="134"/>
      <c r="F79" s="134"/>
      <c r="G79" s="170"/>
    </row>
    <row r="80" spans="1:7">
      <c r="A80" s="134"/>
      <c r="B80" s="134"/>
      <c r="C80" s="134"/>
      <c r="D80" s="134"/>
      <c r="E80" s="134"/>
      <c r="F80" s="134"/>
      <c r="G80" s="170"/>
    </row>
    <row r="81" spans="1:7" ht="15.75" thickBot="1">
      <c r="A81" s="133"/>
      <c r="B81" s="134"/>
      <c r="C81" s="134"/>
      <c r="D81" s="134"/>
      <c r="E81" s="134"/>
      <c r="F81" s="134"/>
      <c r="G81" s="132"/>
    </row>
    <row r="82" spans="1:7" ht="15.75">
      <c r="A82" s="135" t="s">
        <v>112</v>
      </c>
      <c r="B82" s="136"/>
      <c r="C82" s="136"/>
      <c r="D82" s="136"/>
      <c r="E82" s="136"/>
      <c r="F82" s="136"/>
      <c r="G82" s="137"/>
    </row>
    <row r="83" spans="1:7" ht="15.75">
      <c r="A83" s="138"/>
      <c r="B83" s="139"/>
      <c r="C83" s="139"/>
      <c r="D83" s="139"/>
      <c r="E83" s="139"/>
      <c r="F83" s="139"/>
      <c r="G83" s="140"/>
    </row>
    <row r="84" spans="1:7" ht="15.75">
      <c r="A84" s="138"/>
      <c r="B84" s="139"/>
      <c r="C84" s="139"/>
      <c r="D84" s="139"/>
      <c r="E84" s="139"/>
      <c r="F84" s="139"/>
      <c r="G84" s="140"/>
    </row>
    <row r="85" spans="1:7" ht="15.75">
      <c r="A85" s="138"/>
      <c r="B85" s="139"/>
      <c r="C85" s="139"/>
      <c r="D85" s="139"/>
      <c r="E85" s="139"/>
      <c r="F85" s="139"/>
      <c r="G85" s="140"/>
    </row>
    <row r="86" spans="1:7" ht="15.75">
      <c r="A86" s="138"/>
      <c r="B86" s="139"/>
      <c r="C86" s="139"/>
      <c r="D86" s="139"/>
      <c r="E86" s="139"/>
      <c r="F86" s="139"/>
      <c r="G86" s="140"/>
    </row>
    <row r="87" spans="1:7" ht="15.75">
      <c r="A87" s="138"/>
      <c r="B87" s="139"/>
      <c r="C87" s="139"/>
      <c r="D87" s="139"/>
      <c r="E87" s="139"/>
      <c r="F87" s="139"/>
      <c r="G87" s="140"/>
    </row>
    <row r="88" spans="1:7" ht="15.75">
      <c r="A88" s="138"/>
      <c r="B88" s="139"/>
      <c r="C88" s="139"/>
      <c r="D88" s="139"/>
      <c r="E88" s="139"/>
      <c r="F88" s="139"/>
      <c r="G88" s="140"/>
    </row>
    <row r="89" spans="1:7" ht="15.75">
      <c r="A89" s="138"/>
      <c r="B89" s="139"/>
      <c r="C89" s="139"/>
      <c r="D89" s="139"/>
      <c r="E89" s="139"/>
      <c r="F89" s="139"/>
      <c r="G89" s="140"/>
    </row>
    <row r="90" spans="1:7" ht="15.75">
      <c r="A90" s="138"/>
      <c r="B90" s="139"/>
      <c r="C90" s="139"/>
      <c r="D90" s="139"/>
      <c r="E90" s="139"/>
      <c r="F90" s="139"/>
      <c r="G90" s="140"/>
    </row>
    <row r="91" spans="1:7" ht="15.75">
      <c r="A91" s="138"/>
      <c r="B91" s="139"/>
      <c r="C91" s="139"/>
      <c r="D91" s="139"/>
      <c r="E91" s="139"/>
      <c r="F91" s="139"/>
      <c r="G91" s="140"/>
    </row>
    <row r="92" spans="1:7" ht="15.75">
      <c r="A92" s="138"/>
      <c r="B92" s="139"/>
      <c r="C92" s="139"/>
      <c r="D92" s="139"/>
      <c r="E92" s="139"/>
      <c r="F92" s="139"/>
      <c r="G92" s="140"/>
    </row>
    <row r="93" spans="1:7" ht="15.75">
      <c r="A93" s="138"/>
      <c r="B93" s="139"/>
      <c r="C93" s="139"/>
      <c r="D93" s="139"/>
      <c r="E93" s="139"/>
      <c r="F93" s="139"/>
      <c r="G93" s="140"/>
    </row>
    <row r="94" spans="1:7" ht="15.75">
      <c r="A94" s="138"/>
      <c r="B94" s="139"/>
      <c r="C94" s="139"/>
      <c r="D94" s="139"/>
      <c r="E94" s="139"/>
      <c r="F94" s="139"/>
      <c r="G94" s="140"/>
    </row>
    <row r="95" spans="1:7" ht="15.75">
      <c r="A95" s="138"/>
      <c r="B95" s="139"/>
      <c r="C95" s="139"/>
      <c r="D95" s="139"/>
      <c r="E95" s="139"/>
      <c r="F95" s="139"/>
      <c r="G95" s="140"/>
    </row>
    <row r="96" spans="1:7" ht="15.75">
      <c r="A96" s="138"/>
      <c r="B96" s="139"/>
      <c r="C96" s="139"/>
      <c r="D96" s="139"/>
      <c r="E96" s="139"/>
      <c r="F96" s="139"/>
      <c r="G96" s="140"/>
    </row>
    <row r="97" spans="1:7" ht="15.75">
      <c r="A97" s="138"/>
      <c r="B97" s="139"/>
      <c r="C97" s="139"/>
      <c r="D97" s="139"/>
      <c r="E97" s="139"/>
      <c r="F97" s="139"/>
      <c r="G97" s="140"/>
    </row>
    <row r="98" spans="1:7" ht="15.75" thickBot="1">
      <c r="A98" s="141"/>
      <c r="B98" s="142" t="str">
        <f>B62</f>
        <v>Stock W</v>
      </c>
      <c r="C98" s="143"/>
      <c r="D98" s="171" t="s">
        <v>113</v>
      </c>
      <c r="E98" s="145"/>
      <c r="F98" s="146"/>
      <c r="G98" s="147"/>
    </row>
    <row r="99" spans="1:7" ht="15.75" thickBot="1">
      <c r="A99" s="148" t="s">
        <v>105</v>
      </c>
      <c r="B99" s="149">
        <f t="shared" ref="B99:B106" si="1">B63</f>
        <v>0.5</v>
      </c>
      <c r="C99" s="143"/>
      <c r="D99" s="149">
        <f>1-B99</f>
        <v>0.5</v>
      </c>
      <c r="E99" s="145"/>
      <c r="F99" s="145"/>
      <c r="G99" s="150"/>
    </row>
    <row r="100" spans="1:7" ht="15.75" thickBot="1">
      <c r="A100" s="141"/>
      <c r="B100" s="143"/>
      <c r="C100" s="143"/>
      <c r="D100" s="143"/>
      <c r="E100" s="143"/>
      <c r="F100" s="143"/>
      <c r="G100" s="150"/>
    </row>
    <row r="101" spans="1:7" ht="15.75" thickBot="1">
      <c r="A101" s="148" t="s">
        <v>106</v>
      </c>
      <c r="B101" s="172" t="str">
        <f>B98</f>
        <v>Stock W</v>
      </c>
      <c r="C101" s="173"/>
      <c r="D101" s="174" t="str">
        <f>D98</f>
        <v>Stock W'</v>
      </c>
      <c r="E101" s="173"/>
      <c r="F101" s="175" t="s">
        <v>114</v>
      </c>
      <c r="G101" s="150"/>
    </row>
    <row r="102" spans="1:7">
      <c r="A102" s="153">
        <v>2006</v>
      </c>
      <c r="B102" s="154">
        <f t="shared" si="1"/>
        <v>0.4</v>
      </c>
      <c r="C102" s="145"/>
      <c r="D102" s="176">
        <v>0.4</v>
      </c>
      <c r="E102" s="145"/>
      <c r="F102" s="156">
        <f>$B$99*B102+$D$99*D102</f>
        <v>0.4</v>
      </c>
      <c r="G102" s="150"/>
    </row>
    <row r="103" spans="1:7">
      <c r="A103" s="153">
        <v>2007</v>
      </c>
      <c r="B103" s="154">
        <f t="shared" si="1"/>
        <v>-0.1</v>
      </c>
      <c r="C103" s="145"/>
      <c r="D103" s="176">
        <v>-0.1</v>
      </c>
      <c r="E103" s="145"/>
      <c r="F103" s="156">
        <f t="shared" ref="F103:F106" si="2">$B$99*B103+$D$99*D103</f>
        <v>-0.1</v>
      </c>
      <c r="G103" s="150"/>
    </row>
    <row r="104" spans="1:7">
      <c r="A104" s="153">
        <v>2008</v>
      </c>
      <c r="B104" s="154">
        <f t="shared" si="1"/>
        <v>0.35</v>
      </c>
      <c r="C104" s="145"/>
      <c r="D104" s="176">
        <v>0.35</v>
      </c>
      <c r="E104" s="145"/>
      <c r="F104" s="156">
        <f t="shared" si="2"/>
        <v>0.35</v>
      </c>
      <c r="G104" s="150"/>
    </row>
    <row r="105" spans="1:7">
      <c r="A105" s="153">
        <v>2009</v>
      </c>
      <c r="B105" s="154">
        <f t="shared" si="1"/>
        <v>-0.05</v>
      </c>
      <c r="C105" s="145"/>
      <c r="D105" s="176">
        <v>-0.05</v>
      </c>
      <c r="E105" s="145"/>
      <c r="F105" s="156">
        <f t="shared" si="2"/>
        <v>-0.05</v>
      </c>
      <c r="G105" s="150"/>
    </row>
    <row r="106" spans="1:7" ht="15.75" thickBot="1">
      <c r="A106" s="157">
        <v>2010</v>
      </c>
      <c r="B106" s="158">
        <f t="shared" si="1"/>
        <v>0.15</v>
      </c>
      <c r="C106" s="145"/>
      <c r="D106" s="177">
        <v>0.15</v>
      </c>
      <c r="E106" s="145"/>
      <c r="F106" s="160">
        <f t="shared" si="2"/>
        <v>0.15</v>
      </c>
      <c r="G106" s="150"/>
    </row>
    <row r="107" spans="1:7">
      <c r="A107" s="161" t="s">
        <v>108</v>
      </c>
      <c r="B107" s="162">
        <f>AVERAGE(B102:B106)</f>
        <v>0.15</v>
      </c>
      <c r="C107" s="145"/>
      <c r="D107" s="178">
        <f>AVERAGE(D102:D106)</f>
        <v>0.15</v>
      </c>
      <c r="E107" s="145"/>
      <c r="F107" s="164">
        <f>AVERAGE(F102:F106)</f>
        <v>0.15</v>
      </c>
      <c r="G107" s="150"/>
    </row>
    <row r="108" spans="1:7">
      <c r="A108" s="161" t="s">
        <v>109</v>
      </c>
      <c r="B108" s="162">
        <f>STDEV(B102:B106)</f>
        <v>0.22638462845343546</v>
      </c>
      <c r="C108" s="145"/>
      <c r="D108" s="178">
        <f>STDEV(D102:D106)</f>
        <v>0.22638462845343546</v>
      </c>
      <c r="E108" s="145"/>
      <c r="F108" s="164">
        <f>STDEV(F102:F106)</f>
        <v>0.22638462845343546</v>
      </c>
      <c r="G108" s="150"/>
    </row>
    <row r="109" spans="1:7" ht="15.75" thickBot="1">
      <c r="A109" s="165"/>
      <c r="B109" s="145"/>
      <c r="C109" s="145"/>
      <c r="D109" s="145"/>
      <c r="E109" s="145"/>
      <c r="F109" s="145"/>
      <c r="G109" s="150"/>
    </row>
    <row r="110" spans="1:7" ht="15.75" thickBot="1">
      <c r="A110" s="165"/>
      <c r="B110" s="166"/>
      <c r="C110" s="145"/>
      <c r="D110" s="167" t="s">
        <v>110</v>
      </c>
      <c r="E110" s="145"/>
      <c r="F110" s="168">
        <f>CORREL(B102:B106,D102:D106)</f>
        <v>1</v>
      </c>
      <c r="G110" s="150"/>
    </row>
    <row r="111" spans="1:7" ht="15.75" thickBot="1">
      <c r="A111" s="141"/>
      <c r="B111" s="143"/>
      <c r="C111" s="143"/>
      <c r="D111" s="143"/>
      <c r="E111" s="143"/>
      <c r="F111" s="143"/>
      <c r="G111" s="169"/>
    </row>
    <row r="112" spans="1:7">
      <c r="A112" s="130"/>
      <c r="B112" s="130"/>
      <c r="C112" s="130"/>
      <c r="D112" s="130"/>
      <c r="E112" s="130"/>
      <c r="F112" s="130"/>
      <c r="G112" s="130"/>
    </row>
    <row r="113" spans="1:7">
      <c r="A113" s="635" t="s">
        <v>115</v>
      </c>
      <c r="B113" s="635"/>
      <c r="C113" s="635"/>
      <c r="D113" s="635"/>
      <c r="E113" s="635"/>
      <c r="F113" s="635"/>
      <c r="G113" s="635"/>
    </row>
    <row r="114" spans="1:7">
      <c r="A114" s="635"/>
      <c r="B114" s="635"/>
      <c r="C114" s="635"/>
      <c r="D114" s="635"/>
      <c r="E114" s="635"/>
      <c r="F114" s="635"/>
      <c r="G114" s="635"/>
    </row>
    <row r="115" spans="1:7">
      <c r="A115" s="635"/>
      <c r="B115" s="635"/>
      <c r="C115" s="635"/>
      <c r="D115" s="635"/>
      <c r="E115" s="635"/>
      <c r="F115" s="635"/>
      <c r="G115" s="635"/>
    </row>
    <row r="116" spans="1:7">
      <c r="A116" s="130"/>
      <c r="B116" s="130"/>
      <c r="C116" s="130"/>
      <c r="D116" s="130"/>
      <c r="E116" s="130"/>
      <c r="F116" s="130"/>
      <c r="G116" s="130"/>
    </row>
    <row r="117" spans="1:7" ht="15.75" thickBot="1">
      <c r="A117" s="133"/>
      <c r="B117" s="134"/>
      <c r="C117" s="134"/>
      <c r="D117" s="134"/>
      <c r="E117" s="134"/>
      <c r="F117" s="134"/>
      <c r="G117" s="132"/>
    </row>
    <row r="118" spans="1:7" ht="15.75">
      <c r="A118" s="135" t="s">
        <v>116</v>
      </c>
      <c r="B118" s="136"/>
      <c r="C118" s="136"/>
      <c r="D118" s="136"/>
      <c r="E118" s="136"/>
      <c r="F118" s="136"/>
      <c r="G118" s="137"/>
    </row>
    <row r="119" spans="1:7" ht="15.75">
      <c r="A119" s="138"/>
      <c r="B119" s="139"/>
      <c r="C119" s="139"/>
      <c r="D119" s="139"/>
      <c r="E119" s="139"/>
      <c r="F119" s="139"/>
      <c r="G119" s="140"/>
    </row>
    <row r="120" spans="1:7" ht="15.75">
      <c r="A120" s="138"/>
      <c r="B120" s="139"/>
      <c r="C120" s="139"/>
      <c r="D120" s="139"/>
      <c r="E120" s="139"/>
      <c r="F120" s="139"/>
      <c r="G120" s="140"/>
    </row>
    <row r="121" spans="1:7" ht="15.75">
      <c r="A121" s="138"/>
      <c r="B121" s="139"/>
      <c r="C121" s="139"/>
      <c r="D121" s="139"/>
      <c r="E121" s="139"/>
      <c r="F121" s="139"/>
      <c r="G121" s="140"/>
    </row>
    <row r="122" spans="1:7" ht="15.75">
      <c r="A122" s="138"/>
      <c r="B122" s="139"/>
      <c r="C122" s="139"/>
      <c r="D122" s="139"/>
      <c r="E122" s="139"/>
      <c r="F122" s="139"/>
      <c r="G122" s="140"/>
    </row>
    <row r="123" spans="1:7" ht="15.75">
      <c r="A123" s="138"/>
      <c r="B123" s="139"/>
      <c r="C123" s="139"/>
      <c r="D123" s="139"/>
      <c r="E123" s="139"/>
      <c r="F123" s="139"/>
      <c r="G123" s="140"/>
    </row>
    <row r="124" spans="1:7" ht="15.75">
      <c r="A124" s="138"/>
      <c r="B124" s="139"/>
      <c r="C124" s="139"/>
      <c r="D124" s="139"/>
      <c r="E124" s="139"/>
      <c r="F124" s="139"/>
      <c r="G124" s="140"/>
    </row>
    <row r="125" spans="1:7" ht="15.75">
      <c r="A125" s="138"/>
      <c r="B125" s="139"/>
      <c r="C125" s="139"/>
      <c r="D125" s="139"/>
      <c r="E125" s="139"/>
      <c r="F125" s="139"/>
      <c r="G125" s="140"/>
    </row>
    <row r="126" spans="1:7" ht="15.75">
      <c r="A126" s="138"/>
      <c r="B126" s="139"/>
      <c r="C126" s="139"/>
      <c r="D126" s="139"/>
      <c r="E126" s="139"/>
      <c r="F126" s="139"/>
      <c r="G126" s="140"/>
    </row>
    <row r="127" spans="1:7" ht="15.75">
      <c r="A127" s="138"/>
      <c r="B127" s="139"/>
      <c r="C127" s="139"/>
      <c r="D127" s="139"/>
      <c r="E127" s="139"/>
      <c r="F127" s="139"/>
      <c r="G127" s="140"/>
    </row>
    <row r="128" spans="1:7" ht="15.75">
      <c r="A128" s="138"/>
      <c r="B128" s="139"/>
      <c r="C128" s="139"/>
      <c r="D128" s="139"/>
      <c r="E128" s="139"/>
      <c r="F128" s="139"/>
      <c r="G128" s="140"/>
    </row>
    <row r="129" spans="1:7" ht="15.75">
      <c r="A129" s="138"/>
      <c r="B129" s="139"/>
      <c r="C129" s="139"/>
      <c r="D129" s="139"/>
      <c r="E129" s="139"/>
      <c r="F129" s="139"/>
      <c r="G129" s="140"/>
    </row>
    <row r="130" spans="1:7" ht="15.75">
      <c r="A130" s="138"/>
      <c r="B130" s="139"/>
      <c r="C130" s="139"/>
      <c r="D130" s="139"/>
      <c r="E130" s="139"/>
      <c r="F130" s="139"/>
      <c r="G130" s="140"/>
    </row>
    <row r="131" spans="1:7" ht="15.75">
      <c r="A131" s="138"/>
      <c r="B131" s="139"/>
      <c r="C131" s="139"/>
      <c r="D131" s="139"/>
      <c r="E131" s="139"/>
      <c r="F131" s="139"/>
      <c r="G131" s="140"/>
    </row>
    <row r="132" spans="1:7" ht="15.75">
      <c r="A132" s="138"/>
      <c r="B132" s="139"/>
      <c r="C132" s="139"/>
      <c r="D132" s="139"/>
      <c r="E132" s="139"/>
      <c r="F132" s="139"/>
      <c r="G132" s="140"/>
    </row>
    <row r="133" spans="1:7" ht="15.75">
      <c r="A133" s="138"/>
      <c r="B133" s="139"/>
      <c r="C133" s="139"/>
      <c r="D133" s="139"/>
      <c r="E133" s="139"/>
      <c r="F133" s="139"/>
      <c r="G133" s="140"/>
    </row>
    <row r="134" spans="1:7" ht="15.75" thickBot="1">
      <c r="A134" s="141"/>
      <c r="B134" s="142" t="str">
        <f>B98</f>
        <v>Stock W</v>
      </c>
      <c r="C134" s="143"/>
      <c r="D134" s="144" t="s">
        <v>117</v>
      </c>
      <c r="E134" s="145"/>
      <c r="F134" s="146"/>
      <c r="G134" s="147"/>
    </row>
    <row r="135" spans="1:7" ht="15.75" thickBot="1">
      <c r="A135" s="148" t="s">
        <v>105</v>
      </c>
      <c r="B135" s="149">
        <f t="shared" ref="B135:B142" si="3">B99</f>
        <v>0.5</v>
      </c>
      <c r="C135" s="143"/>
      <c r="D135" s="149">
        <f>1-B135</f>
        <v>0.5</v>
      </c>
      <c r="E135" s="145"/>
      <c r="F135" s="145"/>
      <c r="G135" s="150"/>
    </row>
    <row r="136" spans="1:7" ht="15.75" thickBot="1">
      <c r="A136" s="141"/>
      <c r="B136" s="143"/>
      <c r="C136" s="143"/>
      <c r="D136" s="143"/>
      <c r="E136" s="143"/>
      <c r="F136" s="143"/>
      <c r="G136" s="150"/>
    </row>
    <row r="137" spans="1:7" ht="15.75" thickBot="1">
      <c r="A137" s="148" t="s">
        <v>106</v>
      </c>
      <c r="B137" s="172" t="str">
        <f t="shared" si="3"/>
        <v>Stock W</v>
      </c>
      <c r="C137" s="173"/>
      <c r="D137" s="179" t="str">
        <f>D134</f>
        <v>Stock Y</v>
      </c>
      <c r="E137" s="173"/>
      <c r="F137" s="175" t="s">
        <v>118</v>
      </c>
      <c r="G137" s="150"/>
    </row>
    <row r="138" spans="1:7">
      <c r="A138" s="153">
        <v>2006</v>
      </c>
      <c r="B138" s="154">
        <f t="shared" si="3"/>
        <v>0.4</v>
      </c>
      <c r="C138" s="145"/>
      <c r="D138" s="155">
        <v>0.4</v>
      </c>
      <c r="E138" s="145"/>
      <c r="F138" s="180">
        <f>$B$135*B138+$D$135*D138</f>
        <v>0.4</v>
      </c>
      <c r="G138" s="150"/>
    </row>
    <row r="139" spans="1:7">
      <c r="A139" s="153">
        <v>2007</v>
      </c>
      <c r="B139" s="154">
        <f t="shared" si="3"/>
        <v>-0.1</v>
      </c>
      <c r="C139" s="145"/>
      <c r="D139" s="155">
        <v>0.15</v>
      </c>
      <c r="E139" s="145"/>
      <c r="F139" s="181">
        <f t="shared" ref="F139:F142" si="4">$B$135*B139+$D$135*D139</f>
        <v>2.4999999999999994E-2</v>
      </c>
      <c r="G139" s="150"/>
    </row>
    <row r="140" spans="1:7">
      <c r="A140" s="153">
        <v>2008</v>
      </c>
      <c r="B140" s="154">
        <f t="shared" si="3"/>
        <v>0.35</v>
      </c>
      <c r="C140" s="145"/>
      <c r="D140" s="155">
        <v>-0.05</v>
      </c>
      <c r="E140" s="145"/>
      <c r="F140" s="181">
        <f t="shared" si="4"/>
        <v>0.15</v>
      </c>
      <c r="G140" s="150"/>
    </row>
    <row r="141" spans="1:7">
      <c r="A141" s="153">
        <v>2009</v>
      </c>
      <c r="B141" s="154">
        <f t="shared" si="3"/>
        <v>-0.05</v>
      </c>
      <c r="C141" s="145"/>
      <c r="D141" s="155">
        <v>-0.1</v>
      </c>
      <c r="E141" s="145"/>
      <c r="F141" s="181">
        <f t="shared" si="4"/>
        <v>-7.5000000000000011E-2</v>
      </c>
      <c r="G141" s="150"/>
    </row>
    <row r="142" spans="1:7" ht="15.75" thickBot="1">
      <c r="A142" s="157">
        <v>2010</v>
      </c>
      <c r="B142" s="158">
        <f t="shared" si="3"/>
        <v>0.15</v>
      </c>
      <c r="C142" s="145"/>
      <c r="D142" s="159">
        <v>0.35</v>
      </c>
      <c r="E142" s="145"/>
      <c r="F142" s="182">
        <f t="shared" si="4"/>
        <v>0.25</v>
      </c>
      <c r="G142" s="150"/>
    </row>
    <row r="143" spans="1:7">
      <c r="A143" s="161" t="s">
        <v>108</v>
      </c>
      <c r="B143" s="162">
        <f>AVERAGE(B138:B142)</f>
        <v>0.15</v>
      </c>
      <c r="C143" s="145"/>
      <c r="D143" s="163">
        <f>AVERAGE(D138:D142)</f>
        <v>0.15</v>
      </c>
      <c r="E143" s="145"/>
      <c r="F143" s="164">
        <f>AVERAGE(F138:F142)</f>
        <v>0.15</v>
      </c>
      <c r="G143" s="150"/>
    </row>
    <row r="144" spans="1:7">
      <c r="A144" s="161" t="s">
        <v>109</v>
      </c>
      <c r="B144" s="162">
        <f>STDEV(B138:B142)</f>
        <v>0.22638462845343546</v>
      </c>
      <c r="C144" s="145"/>
      <c r="D144" s="163">
        <f>STDEV(D138:D142)</f>
        <v>0.22638462845343543</v>
      </c>
      <c r="E144" s="145"/>
      <c r="F144" s="164">
        <f>STDEV(F138:F142)</f>
        <v>0.18624580532189175</v>
      </c>
      <c r="G144" s="150"/>
    </row>
    <row r="145" spans="1:7" ht="15.75" thickBot="1">
      <c r="A145" s="165"/>
      <c r="B145" s="145"/>
      <c r="C145" s="145"/>
      <c r="D145" s="145"/>
      <c r="E145" s="145"/>
      <c r="F145" s="145"/>
      <c r="G145" s="150"/>
    </row>
    <row r="146" spans="1:7" ht="15.75" thickBot="1">
      <c r="A146" s="165"/>
      <c r="B146" s="166"/>
      <c r="C146" s="145"/>
      <c r="D146" s="167" t="s">
        <v>110</v>
      </c>
      <c r="E146" s="145"/>
      <c r="F146" s="168">
        <f>CORREL(B138:B142,D138:D142)</f>
        <v>0.35365853658536589</v>
      </c>
      <c r="G146" s="150"/>
    </row>
    <row r="147" spans="1:7" ht="15.75" thickBot="1">
      <c r="A147" s="141"/>
      <c r="B147" s="143"/>
      <c r="C147" s="143"/>
      <c r="D147" s="143"/>
      <c r="E147" s="143"/>
      <c r="F147" s="143"/>
      <c r="G147" s="169"/>
    </row>
    <row r="148" spans="1:7">
      <c r="A148" s="130"/>
      <c r="B148" s="130"/>
      <c r="C148" s="130"/>
      <c r="D148" s="130"/>
      <c r="E148" s="130"/>
      <c r="F148" s="130"/>
      <c r="G148" s="130"/>
    </row>
    <row r="149" spans="1:7">
      <c r="A149" s="642" t="s">
        <v>119</v>
      </c>
      <c r="B149" s="642"/>
      <c r="C149" s="642"/>
      <c r="D149" s="642"/>
      <c r="E149" s="642"/>
      <c r="F149" s="642"/>
      <c r="G149" s="130"/>
    </row>
    <row r="150" spans="1:7">
      <c r="A150" s="642"/>
      <c r="B150" s="642"/>
      <c r="C150" s="642"/>
      <c r="D150" s="642"/>
      <c r="E150" s="642"/>
      <c r="F150" s="642"/>
      <c r="G150" s="130"/>
    </row>
    <row r="151" spans="1:7">
      <c r="A151" s="642"/>
      <c r="B151" s="642"/>
      <c r="C151" s="642"/>
      <c r="D151" s="642"/>
      <c r="E151" s="642"/>
      <c r="F151" s="642"/>
      <c r="G151" s="130"/>
    </row>
    <row r="152" spans="1:7">
      <c r="A152" s="642"/>
      <c r="B152" s="642"/>
      <c r="C152" s="642"/>
      <c r="D152" s="642"/>
      <c r="E152" s="642"/>
      <c r="F152" s="642"/>
      <c r="G152" s="130"/>
    </row>
    <row r="153" spans="1:7">
      <c r="A153" s="642"/>
      <c r="B153" s="642"/>
      <c r="C153" s="642"/>
      <c r="D153" s="642"/>
      <c r="E153" s="642"/>
      <c r="F153" s="642"/>
      <c r="G153" s="130"/>
    </row>
  </sheetData>
  <mergeCells count="6">
    <mergeCell ref="A149:F153"/>
    <mergeCell ref="A3:L3"/>
    <mergeCell ref="A23:F25"/>
    <mergeCell ref="A40:F43"/>
    <mergeCell ref="A77:F78"/>
    <mergeCell ref="A113:G11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AS45"/>
  <sheetViews>
    <sheetView zoomScale="55" zoomScaleNormal="55" workbookViewId="0">
      <selection activeCell="M11" sqref="M11"/>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f>VARP(Data!$C$112:$C$160)</f>
        <v>4.3484082500237419E-3</v>
      </c>
    </row>
    <row r="3" spans="1:45">
      <c r="A3" s="82" t="s">
        <v>3</v>
      </c>
      <c r="B3" s="82">
        <v>5.4843867852412825E-3</v>
      </c>
      <c r="C3" s="82">
        <f>VARP(Data!$D$112:$D$160)</f>
        <v>2.2211200679338648E-2</v>
      </c>
    </row>
    <row r="4" spans="1:45">
      <c r="A4" s="82" t="s">
        <v>4</v>
      </c>
      <c r="B4" s="82">
        <v>3.6687308168707002E-3</v>
      </c>
      <c r="C4" s="82">
        <v>1.1536267762564273E-2</v>
      </c>
      <c r="D4" s="82">
        <f>VARP(Data!$E$112:$E$160)</f>
        <v>1.0457728931111396E-2</v>
      </c>
    </row>
    <row r="5" spans="1:45">
      <c r="A5" s="82" t="s">
        <v>5</v>
      </c>
      <c r="B5" s="82">
        <v>2.327658855919124E-3</v>
      </c>
      <c r="C5" s="82">
        <v>1.103915124189829E-2</v>
      </c>
      <c r="D5" s="82">
        <v>7.2010153687381362E-3</v>
      </c>
      <c r="E5" s="82">
        <f>VARP(Data!$F$112:$F$160)</f>
        <v>1.1864475692897261E-2</v>
      </c>
    </row>
    <row r="6" spans="1:45">
      <c r="A6" s="82" t="s">
        <v>6</v>
      </c>
      <c r="B6" s="82">
        <v>2.2936970671964796E-3</v>
      </c>
      <c r="C6" s="82">
        <v>8.9259766459482536E-3</v>
      </c>
      <c r="D6" s="82">
        <v>5.1284564847973689E-3</v>
      </c>
      <c r="E6" s="82">
        <v>5.4059445391740979E-3</v>
      </c>
      <c r="F6" s="82">
        <f>VARP(Data!$G$112:$G$160)</f>
        <v>6.6520655729612561E-3</v>
      </c>
    </row>
    <row r="7" spans="1:45">
      <c r="A7" s="82" t="s">
        <v>7</v>
      </c>
      <c r="B7" s="82">
        <v>3.1896037827751447E-3</v>
      </c>
      <c r="C7" s="82">
        <v>1.3624593884490235E-2</v>
      </c>
      <c r="D7" s="82">
        <v>1.0379308898030818E-2</v>
      </c>
      <c r="E7" s="82">
        <v>9.2192445217304624E-3</v>
      </c>
      <c r="F7" s="82">
        <v>6.017627633149579E-3</v>
      </c>
      <c r="G7" s="82">
        <f>VARP(Data!$H$112:$H$160)</f>
        <v>1.4435044276271104E-2</v>
      </c>
    </row>
    <row r="8" spans="1:45">
      <c r="A8" s="82" t="s">
        <v>8</v>
      </c>
      <c r="B8" s="82">
        <v>2.7855980423725701E-3</v>
      </c>
      <c r="C8" s="82">
        <v>1.6271820893048666E-2</v>
      </c>
      <c r="D8" s="82">
        <v>1.147186259833822E-2</v>
      </c>
      <c r="E8" s="82">
        <v>1.0085467802959134E-2</v>
      </c>
      <c r="F8" s="82">
        <v>7.8525021103597568E-3</v>
      </c>
      <c r="G8" s="82">
        <v>1.2769776971021621E-2</v>
      </c>
      <c r="H8" s="82">
        <f>VARP(Data!$I$112:$I$160)</f>
        <v>2.2940119610964923E-2</v>
      </c>
    </row>
    <row r="9" spans="1:45">
      <c r="A9" s="82" t="s">
        <v>9</v>
      </c>
      <c r="B9" s="82">
        <v>2.8799026823473949E-3</v>
      </c>
      <c r="C9" s="82">
        <v>8.7386183543125828E-3</v>
      </c>
      <c r="D9" s="82">
        <v>6.1114621538142537E-3</v>
      </c>
      <c r="E9" s="82">
        <v>5.1478462637538748E-3</v>
      </c>
      <c r="F9" s="82">
        <v>4.0748062782987515E-3</v>
      </c>
      <c r="G9" s="82">
        <v>6.7047884194822499E-3</v>
      </c>
      <c r="H9" s="82">
        <v>5.2246309818152637E-3</v>
      </c>
      <c r="I9" s="82">
        <f>VARP(Data!$J$112:$J$160)</f>
        <v>1.2365992146776512E-2</v>
      </c>
    </row>
    <row r="10" spans="1:45">
      <c r="A10" s="82" t="s">
        <v>10</v>
      </c>
      <c r="B10" s="82">
        <v>1.868843778297221E-3</v>
      </c>
      <c r="C10" s="82">
        <v>6.4542638621698876E-3</v>
      </c>
      <c r="D10" s="82">
        <v>5.5688400637349767E-3</v>
      </c>
      <c r="E10" s="82">
        <v>5.8888969790425695E-3</v>
      </c>
      <c r="F10" s="82">
        <v>2.7255669910953993E-3</v>
      </c>
      <c r="G10" s="82">
        <v>5.6623158403037782E-3</v>
      </c>
      <c r="H10" s="82">
        <v>4.9062413456602309E-3</v>
      </c>
      <c r="I10" s="82">
        <v>3.5051935251329139E-3</v>
      </c>
      <c r="J10" s="82">
        <f>VARP(Data!$K$112:$K$160)</f>
        <v>1.1001537062555288E-2</v>
      </c>
    </row>
    <row r="11" spans="1:45">
      <c r="A11" s="82" t="s">
        <v>11</v>
      </c>
      <c r="B11" s="82">
        <v>1.2957872965261258E-3</v>
      </c>
      <c r="C11" s="82">
        <v>7.5021513056063418E-3</v>
      </c>
      <c r="D11" s="82">
        <v>4.475493030943984E-3</v>
      </c>
      <c r="E11" s="82">
        <v>7.6804072210238895E-3</v>
      </c>
      <c r="F11" s="82">
        <v>3.5269773511758381E-3</v>
      </c>
      <c r="G11" s="82">
        <v>5.6187747925856308E-3</v>
      </c>
      <c r="H11" s="82">
        <v>5.5604524115165947E-3</v>
      </c>
      <c r="I11" s="82">
        <v>3.5298501047925277E-3</v>
      </c>
      <c r="J11" s="82">
        <v>2.8369853611232825E-3</v>
      </c>
      <c r="K11" s="82">
        <f>VARP(Data!$L$112:$L$160)</f>
        <v>9.4110506310172114E-3</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1.8232745677242599E-3</v>
      </c>
      <c r="C12" s="82">
        <v>1.6554757306012371E-2</v>
      </c>
      <c r="D12" s="82">
        <v>9.0213656837751562E-3</v>
      </c>
      <c r="E12" s="82">
        <v>1.2510728786290308E-2</v>
      </c>
      <c r="F12" s="82">
        <v>6.6339667700254781E-3</v>
      </c>
      <c r="G12" s="82">
        <v>1.2467722284653229E-2</v>
      </c>
      <c r="H12" s="82">
        <v>1.5440279257883657E-2</v>
      </c>
      <c r="I12" s="82">
        <v>5.4432330289068973E-3</v>
      </c>
      <c r="J12" s="82">
        <v>6.1090305701035717E-3</v>
      </c>
      <c r="K12" s="82">
        <v>9.5370394418350622E-3</v>
      </c>
      <c r="L12" s="82">
        <f>VARP(Data!$M$112:$M$160)</f>
        <v>2.3729396662700807E-2</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5.0251761703464497E-3</v>
      </c>
      <c r="C13" s="82">
        <v>2.0019407106000895E-2</v>
      </c>
      <c r="D13" s="82">
        <v>1.1236076720300138E-2</v>
      </c>
      <c r="E13" s="82">
        <v>1.1398073907617214E-2</v>
      </c>
      <c r="F13" s="82">
        <v>9.8820267552456147E-3</v>
      </c>
      <c r="G13" s="82">
        <v>1.1461280390486706E-2</v>
      </c>
      <c r="H13" s="82">
        <v>1.7164748515463586E-2</v>
      </c>
      <c r="I13" s="82">
        <v>7.6614403847543242E-3</v>
      </c>
      <c r="J13" s="82">
        <v>7.4567555164326239E-3</v>
      </c>
      <c r="K13" s="82">
        <v>7.1050956362583443E-3</v>
      </c>
      <c r="L13" s="82">
        <v>1.5565557224486803E-2</v>
      </c>
      <c r="M13" s="82">
        <f>VARP(Data!$N$112:$N$160)</f>
        <v>2.41937838279511E-2</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1.6822543499791915E-3</v>
      </c>
      <c r="C14" s="82">
        <v>8.970068999247292E-3</v>
      </c>
      <c r="D14" s="82">
        <v>5.9473118862705893E-3</v>
      </c>
      <c r="E14" s="82">
        <v>4.4619475066161995E-3</v>
      </c>
      <c r="F14" s="82">
        <v>2.7301960566330852E-3</v>
      </c>
      <c r="G14" s="82">
        <v>6.2032018783914882E-3</v>
      </c>
      <c r="H14" s="82">
        <v>8.3127589309308809E-3</v>
      </c>
      <c r="I14" s="82">
        <v>3.7058345207967129E-3</v>
      </c>
      <c r="J14" s="82">
        <v>4.6578905884976747E-3</v>
      </c>
      <c r="K14" s="82">
        <v>3.7198298260942338E-3</v>
      </c>
      <c r="L14" s="82">
        <v>7.6673632343190554E-3</v>
      </c>
      <c r="M14" s="82">
        <v>8.9608124744323479E-3</v>
      </c>
      <c r="N14" s="82">
        <f>VARP(Data!$O$112:$O$160)</f>
        <v>1.0910079802567613E-2</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2.2747735060259437E-3</v>
      </c>
      <c r="C15" s="82">
        <v>9.2766021958820902E-3</v>
      </c>
      <c r="D15" s="82">
        <v>5.4952985379185292E-3</v>
      </c>
      <c r="E15" s="82">
        <v>4.1792593963365862E-3</v>
      </c>
      <c r="F15" s="82">
        <v>4.1922327204402376E-3</v>
      </c>
      <c r="G15" s="82">
        <v>5.7549091972880452E-3</v>
      </c>
      <c r="H15" s="82">
        <v>9.4046891453278651E-3</v>
      </c>
      <c r="I15" s="82">
        <v>4.1983533250644113E-3</v>
      </c>
      <c r="J15" s="82">
        <v>3.5311810321468329E-3</v>
      </c>
      <c r="K15" s="82">
        <v>1.8278493670540702E-3</v>
      </c>
      <c r="L15" s="82">
        <v>5.398296759058255E-3</v>
      </c>
      <c r="M15" s="82">
        <v>1.1492008700809034E-2</v>
      </c>
      <c r="N15" s="82">
        <v>5.8803711751947438E-3</v>
      </c>
      <c r="O15" s="82">
        <f>VARP(Data!$P$112:$P$160)</f>
        <v>1.0175574510847118E-2</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1.9520271266487183E-3</v>
      </c>
      <c r="C16" s="82">
        <v>1.0536440430332965E-2</v>
      </c>
      <c r="D16" s="82">
        <v>5.2405283009350654E-3</v>
      </c>
      <c r="E16" s="82">
        <v>6.6628155443736693E-3</v>
      </c>
      <c r="F16" s="82">
        <v>5.3294688103792077E-3</v>
      </c>
      <c r="G16" s="82">
        <v>7.5230196151277696E-3</v>
      </c>
      <c r="H16" s="82">
        <v>1.0167830992603112E-2</v>
      </c>
      <c r="I16" s="82">
        <v>3.3746336912453523E-3</v>
      </c>
      <c r="J16" s="82">
        <v>2.9840291531857488E-3</v>
      </c>
      <c r="K16" s="82">
        <v>6.2452758398040646E-3</v>
      </c>
      <c r="L16" s="82">
        <v>1.207407464854088E-2</v>
      </c>
      <c r="M16" s="82">
        <v>1.0979880222736807E-2</v>
      </c>
      <c r="N16" s="82">
        <v>4.8944106556850437E-3</v>
      </c>
      <c r="O16" s="82">
        <v>4.5779243214436891E-3</v>
      </c>
      <c r="P16" s="82">
        <f>VARP(Data!$Q$112:$Q$160)</f>
        <v>1.4557575824301942E-2</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1.2948501932224992E-4</v>
      </c>
      <c r="C17" s="82">
        <v>3.5734668798266841E-3</v>
      </c>
      <c r="D17" s="82">
        <v>2.2642155702842066E-3</v>
      </c>
      <c r="E17" s="82">
        <v>3.2358166683369438E-3</v>
      </c>
      <c r="F17" s="82">
        <v>2.7782952927599149E-3</v>
      </c>
      <c r="G17" s="82">
        <v>2.735328302783249E-3</v>
      </c>
      <c r="H17" s="82">
        <v>2.719427292787032E-3</v>
      </c>
      <c r="I17" s="82">
        <v>1.8904814639086045E-3</v>
      </c>
      <c r="J17" s="82">
        <v>2.5739746930939773E-3</v>
      </c>
      <c r="K17" s="82">
        <v>2.2471570823229532E-3</v>
      </c>
      <c r="L17" s="82">
        <v>3.3098654387030547E-3</v>
      </c>
      <c r="M17" s="82">
        <v>4.5858228795209923E-3</v>
      </c>
      <c r="N17" s="82">
        <v>1.8651801554167068E-3</v>
      </c>
      <c r="O17" s="82">
        <v>2.0736827441320302E-3</v>
      </c>
      <c r="P17" s="82">
        <v>2.9389689044740739E-3</v>
      </c>
      <c r="Q17" s="82">
        <f>VARP(Data!$R$112:$R$160)</f>
        <v>3.591094943122443E-3</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2.0765603219393609E-3</v>
      </c>
      <c r="C18" s="82">
        <v>1.0118838780894856E-2</v>
      </c>
      <c r="D18" s="82">
        <v>6.0381392802450994E-3</v>
      </c>
      <c r="E18" s="82">
        <v>5.7319354207999527E-3</v>
      </c>
      <c r="F18" s="82">
        <v>4.0018569578998756E-3</v>
      </c>
      <c r="G18" s="82">
        <v>6.9966644203822859E-3</v>
      </c>
      <c r="H18" s="82">
        <v>9.3562000142962502E-3</v>
      </c>
      <c r="I18" s="82">
        <v>3.7866574045035237E-3</v>
      </c>
      <c r="J18" s="82">
        <v>3.9757703031247137E-3</v>
      </c>
      <c r="K18" s="82">
        <v>4.4145624239804136E-3</v>
      </c>
      <c r="L18" s="82">
        <v>8.5455833517648055E-3</v>
      </c>
      <c r="M18" s="82">
        <v>1.1007713672910906E-2</v>
      </c>
      <c r="N18" s="82">
        <v>5.823366317094944E-3</v>
      </c>
      <c r="O18" s="82">
        <v>6.4265971572129805E-3</v>
      </c>
      <c r="P18" s="82">
        <v>5.2980865403454147E-3</v>
      </c>
      <c r="Q18" s="82">
        <v>2.425282938005389E-3</v>
      </c>
      <c r="R18" s="82">
        <f>VARP(Data!$S$112:$S$160)</f>
        <v>8.5493851079801696E-3</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1.2402469644621637E-3</v>
      </c>
      <c r="C19" s="82">
        <v>1.0658658746477217E-2</v>
      </c>
      <c r="D19" s="82">
        <v>6.5610130454979102E-3</v>
      </c>
      <c r="E19" s="82">
        <v>7.0972742074224245E-3</v>
      </c>
      <c r="F19" s="82">
        <v>5.1957669801097478E-3</v>
      </c>
      <c r="G19" s="82">
        <v>8.4975028455911011E-3</v>
      </c>
      <c r="H19" s="82">
        <v>1.0176767490608521E-2</v>
      </c>
      <c r="I19" s="82">
        <v>2.7747098711839689E-3</v>
      </c>
      <c r="J19" s="82">
        <v>5.6459933136442601E-3</v>
      </c>
      <c r="K19" s="82">
        <v>6.0468236391695435E-3</v>
      </c>
      <c r="L19" s="82">
        <v>1.2021120738154083E-2</v>
      </c>
      <c r="M19" s="82">
        <v>1.061744308169402E-2</v>
      </c>
      <c r="N19" s="82">
        <v>6.6491656414096011E-3</v>
      </c>
      <c r="O19" s="82">
        <v>4.4922270126920199E-3</v>
      </c>
      <c r="P19" s="82">
        <v>9.078758664241196E-3</v>
      </c>
      <c r="Q19" s="82">
        <v>3.7815685534868136E-3</v>
      </c>
      <c r="R19" s="82">
        <v>5.7584371066446045E-3</v>
      </c>
      <c r="S19" s="82">
        <f>VARP(Data!$T$112:$T$160)</f>
        <v>1.1679489312085291E-2</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1.7431836518849646E-3</v>
      </c>
      <c r="C20" s="82">
        <v>1.6238077564308267E-2</v>
      </c>
      <c r="D20" s="82">
        <v>9.2180217609202971E-3</v>
      </c>
      <c r="E20" s="82">
        <v>1.0851263076449725E-2</v>
      </c>
      <c r="F20" s="82">
        <v>6.6690306216231152E-3</v>
      </c>
      <c r="G20" s="82">
        <v>1.1928592963551969E-2</v>
      </c>
      <c r="H20" s="82">
        <v>1.6012678031942958E-2</v>
      </c>
      <c r="I20" s="82">
        <v>5.7694276679578042E-3</v>
      </c>
      <c r="J20" s="82">
        <v>6.5819141462158436E-3</v>
      </c>
      <c r="K20" s="82">
        <v>8.9642177162626551E-3</v>
      </c>
      <c r="L20" s="82">
        <v>1.8379049009777972E-2</v>
      </c>
      <c r="M20" s="82">
        <v>1.4971391411358058E-2</v>
      </c>
      <c r="N20" s="82">
        <v>8.0043997264401586E-3</v>
      </c>
      <c r="O20" s="82">
        <v>5.8286184895892665E-3</v>
      </c>
      <c r="P20" s="82">
        <v>1.2716636722649098E-2</v>
      </c>
      <c r="Q20" s="82">
        <v>3.278402898286945E-3</v>
      </c>
      <c r="R20" s="82">
        <v>8.7814048105979703E-3</v>
      </c>
      <c r="S20" s="82">
        <v>1.1801299596301735E-2</v>
      </c>
      <c r="T20" s="82">
        <f>VARP(Data!$U$112:$U$160)</f>
        <v>2.3553453352287933E-2</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2.5590556981861007E-3</v>
      </c>
      <c r="C21" s="82">
        <v>1.5636711638623041E-2</v>
      </c>
      <c r="D21" s="82">
        <v>9.7922961328554114E-3</v>
      </c>
      <c r="E21" s="82">
        <v>1.0850361216327478E-2</v>
      </c>
      <c r="F21" s="82">
        <v>5.6240142039591517E-3</v>
      </c>
      <c r="G21" s="82">
        <v>1.094033649923774E-2</v>
      </c>
      <c r="H21" s="82">
        <v>1.3996768226818916E-2</v>
      </c>
      <c r="I21" s="82">
        <v>8.2231883027483049E-3</v>
      </c>
      <c r="J21" s="82">
        <v>8.619226111995771E-3</v>
      </c>
      <c r="K21" s="82">
        <v>8.5802320424636491E-3</v>
      </c>
      <c r="L21" s="82">
        <v>1.6013388895613059E-2</v>
      </c>
      <c r="M21" s="82">
        <v>1.6265761754668037E-2</v>
      </c>
      <c r="N21" s="82">
        <v>9.1393641562418117E-3</v>
      </c>
      <c r="O21" s="82">
        <v>7.5863299504215888E-3</v>
      </c>
      <c r="P21" s="82">
        <v>8.7085895475920855E-3</v>
      </c>
      <c r="Q21" s="82">
        <v>3.9277316833956164E-3</v>
      </c>
      <c r="R21" s="82">
        <v>9.9295672457806444E-3</v>
      </c>
      <c r="S21" s="82">
        <v>1.085731927472151E-2</v>
      </c>
      <c r="T21" s="82">
        <v>1.6801694313457467E-2</v>
      </c>
      <c r="U21" s="82">
        <f>VARP(Data!$V$112:$V$160)</f>
        <v>2.5424059093742943E-2</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2.1004442948880805E-3</v>
      </c>
      <c r="C22" s="82">
        <v>8.8835384668527612E-3</v>
      </c>
      <c r="D22" s="82">
        <v>6.9724136120122467E-3</v>
      </c>
      <c r="E22" s="82">
        <v>5.5762129248027705E-3</v>
      </c>
      <c r="F22" s="82">
        <v>3.7415266303128898E-3</v>
      </c>
      <c r="G22" s="82">
        <v>7.590429928232079E-3</v>
      </c>
      <c r="H22" s="82">
        <v>7.7286105091783248E-3</v>
      </c>
      <c r="I22" s="82">
        <v>4.4392104491839841E-3</v>
      </c>
      <c r="J22" s="82">
        <v>4.8009571780499053E-3</v>
      </c>
      <c r="K22" s="82">
        <v>4.0292065588262956E-3</v>
      </c>
      <c r="L22" s="82">
        <v>7.6377582064374814E-3</v>
      </c>
      <c r="M22" s="82">
        <v>7.4833792561546106E-3</v>
      </c>
      <c r="N22" s="82">
        <v>4.5857793431085996E-3</v>
      </c>
      <c r="O22" s="82">
        <v>3.207017915463929E-3</v>
      </c>
      <c r="P22" s="82">
        <v>5.103805655903188E-3</v>
      </c>
      <c r="Q22" s="82">
        <v>2.2195019866043078E-3</v>
      </c>
      <c r="R22" s="82">
        <v>4.8044868264690999E-3</v>
      </c>
      <c r="S22" s="82">
        <v>5.2622450080848588E-3</v>
      </c>
      <c r="T22" s="82">
        <v>8.5858402533659072E-3</v>
      </c>
      <c r="U22" s="82">
        <v>8.5660218225066028E-3</v>
      </c>
      <c r="V22" s="82">
        <f>VARP(Data!$W$112:$W$160)</f>
        <v>6.6740016542331153E-3</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2.7025906532645669E-3</v>
      </c>
      <c r="C23" s="82">
        <v>1.330529548354306E-2</v>
      </c>
      <c r="D23" s="82">
        <v>7.2946439530446961E-3</v>
      </c>
      <c r="E23" s="82">
        <v>7.7028055455759829E-3</v>
      </c>
      <c r="F23" s="82">
        <v>5.5496435144690706E-3</v>
      </c>
      <c r="G23" s="82">
        <v>9.2857752225155507E-3</v>
      </c>
      <c r="H23" s="82">
        <v>1.3531902344215375E-2</v>
      </c>
      <c r="I23" s="82">
        <v>3.1516482197269584E-3</v>
      </c>
      <c r="J23" s="82">
        <v>3.5648466103737502E-3</v>
      </c>
      <c r="K23" s="82">
        <v>4.8287669398867535E-3</v>
      </c>
      <c r="L23" s="82">
        <v>1.2068166571306511E-2</v>
      </c>
      <c r="M23" s="82">
        <v>1.2650523149780137E-2</v>
      </c>
      <c r="N23" s="82">
        <v>5.9571402670569188E-3</v>
      </c>
      <c r="O23" s="82">
        <v>6.0344734386510524E-3</v>
      </c>
      <c r="P23" s="82">
        <v>7.7579965749036885E-3</v>
      </c>
      <c r="Q23" s="82">
        <v>2.729009945798856E-3</v>
      </c>
      <c r="R23" s="82">
        <v>7.5688659163134168E-3</v>
      </c>
      <c r="S23" s="82">
        <v>8.3013956302035435E-3</v>
      </c>
      <c r="T23" s="82">
        <v>1.2388375347802927E-2</v>
      </c>
      <c r="U23" s="82">
        <v>1.0211508101949256E-2</v>
      </c>
      <c r="V23" s="82">
        <v>5.058341936313002E-3</v>
      </c>
      <c r="W23" s="82">
        <f>VARP(Data!$X$112:$X$160)</f>
        <v>1.4880718873484647E-2</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2.3245230971528511E-3</v>
      </c>
      <c r="C24" s="82">
        <v>1.3123141484571645E-2</v>
      </c>
      <c r="D24" s="82">
        <v>9.4565525163496436E-3</v>
      </c>
      <c r="E24" s="82">
        <v>9.0589340321774996E-3</v>
      </c>
      <c r="F24" s="82">
        <v>5.4958151082289E-3</v>
      </c>
      <c r="G24" s="82">
        <v>1.1097261906841387E-2</v>
      </c>
      <c r="H24" s="82">
        <v>1.376483382155041E-2</v>
      </c>
      <c r="I24" s="82">
        <v>6.4612827825338975E-3</v>
      </c>
      <c r="J24" s="82">
        <v>6.2030611325028595E-3</v>
      </c>
      <c r="K24" s="82">
        <v>6.4908174952908355E-3</v>
      </c>
      <c r="L24" s="82">
        <v>1.3285822282927932E-2</v>
      </c>
      <c r="M24" s="82">
        <v>1.2510086297123107E-2</v>
      </c>
      <c r="N24" s="82">
        <v>7.1001510668576504E-3</v>
      </c>
      <c r="O24" s="82">
        <v>5.9831838132393756E-3</v>
      </c>
      <c r="P24" s="82">
        <v>8.6029910500112494E-3</v>
      </c>
      <c r="Q24" s="82">
        <v>3.317080685293006E-3</v>
      </c>
      <c r="R24" s="82">
        <v>7.5992221542511909E-3</v>
      </c>
      <c r="S24" s="82">
        <v>9.6429243131038352E-3</v>
      </c>
      <c r="T24" s="82">
        <v>1.3955851960666508E-2</v>
      </c>
      <c r="U24" s="82">
        <v>1.447702620517928E-2</v>
      </c>
      <c r="V24" s="82">
        <v>8.2723784055130211E-3</v>
      </c>
      <c r="W24" s="82">
        <v>8.8014702236263714E-3</v>
      </c>
      <c r="X24" s="82">
        <f>VARP(Data!$Y$112:$Y$160)</f>
        <v>1.4647094759198242E-2</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5.0277214508206514E-3</v>
      </c>
      <c r="C25" s="82">
        <v>2.1115058819677682E-2</v>
      </c>
      <c r="D25" s="82">
        <v>1.2446460656066595E-2</v>
      </c>
      <c r="E25" s="82">
        <v>1.2896307247142367E-2</v>
      </c>
      <c r="F25" s="82">
        <v>9.1531942508620359E-3</v>
      </c>
      <c r="G25" s="82">
        <v>1.4345847261470828E-2</v>
      </c>
      <c r="H25" s="82">
        <v>1.8134379505755222E-2</v>
      </c>
      <c r="I25" s="82">
        <v>9.5639762729777169E-3</v>
      </c>
      <c r="J25" s="82">
        <v>8.1949640194708684E-3</v>
      </c>
      <c r="K25" s="82">
        <v>9.2578613827245526E-3</v>
      </c>
      <c r="L25" s="82">
        <v>1.9117200810735882E-2</v>
      </c>
      <c r="M25" s="82">
        <v>2.112945662366645E-2</v>
      </c>
      <c r="N25" s="82">
        <v>9.2274106173092733E-3</v>
      </c>
      <c r="O25" s="82">
        <v>1.0524344020125743E-2</v>
      </c>
      <c r="P25" s="82">
        <v>1.1036025865158571E-2</v>
      </c>
      <c r="Q25" s="82">
        <v>3.6721893309385979E-3</v>
      </c>
      <c r="R25" s="82">
        <v>1.0494781960806209E-2</v>
      </c>
      <c r="S25" s="82">
        <v>1.0637069763049543E-2</v>
      </c>
      <c r="T25" s="82">
        <v>1.7507599203451026E-2</v>
      </c>
      <c r="U25" s="82">
        <v>1.7648172968979636E-2</v>
      </c>
      <c r="V25" s="82">
        <v>9.1965516925245072E-3</v>
      </c>
      <c r="W25" s="82">
        <v>1.1766487623836133E-2</v>
      </c>
      <c r="X25" s="82">
        <v>1.4989807784898957E-2</v>
      </c>
      <c r="Y25" s="82">
        <f>VARP(Data!$Z$112:$Z$160)</f>
        <v>2.5646188791650548E-2</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2.3114149416420386E-3</v>
      </c>
      <c r="C26" s="82">
        <v>1.2119149380576033E-2</v>
      </c>
      <c r="D26" s="82">
        <v>7.3451209082559159E-3</v>
      </c>
      <c r="E26" s="82">
        <v>8.2003698322500942E-3</v>
      </c>
      <c r="F26" s="82">
        <v>5.5715384506392586E-3</v>
      </c>
      <c r="G26" s="82">
        <v>8.855861061562104E-3</v>
      </c>
      <c r="H26" s="82">
        <v>1.0360225985784727E-2</v>
      </c>
      <c r="I26" s="82">
        <v>5.313367057159811E-3</v>
      </c>
      <c r="J26" s="82">
        <v>5.0633715449508376E-3</v>
      </c>
      <c r="K26" s="82">
        <v>6.0730540156444463E-3</v>
      </c>
      <c r="L26" s="82">
        <v>1.113402673442211E-2</v>
      </c>
      <c r="M26" s="82">
        <v>1.2872617880641736E-2</v>
      </c>
      <c r="N26" s="82">
        <v>7.1857526392896222E-3</v>
      </c>
      <c r="O26" s="82">
        <v>5.9523520442063133E-3</v>
      </c>
      <c r="P26" s="82">
        <v>7.3407953730719238E-3</v>
      </c>
      <c r="Q26" s="82">
        <v>3.3086201008228123E-3</v>
      </c>
      <c r="R26" s="82">
        <v>5.6267888614939081E-3</v>
      </c>
      <c r="S26" s="82">
        <v>8.5499413221641393E-3</v>
      </c>
      <c r="T26" s="82">
        <v>1.134039147847624E-2</v>
      </c>
      <c r="U26" s="82">
        <v>1.2859771960155642E-2</v>
      </c>
      <c r="V26" s="82">
        <v>5.6174759665606443E-3</v>
      </c>
      <c r="W26" s="82">
        <v>7.5320441794004215E-3</v>
      </c>
      <c r="X26" s="82">
        <v>1.0139958611968642E-2</v>
      </c>
      <c r="Y26" s="82">
        <v>1.3496896799247716E-2</v>
      </c>
      <c r="Z26" s="82">
        <f>VARP(Data!$AA$112:$AA$160)</f>
        <v>1.1693676064166516E-2</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3.5367607699029382E-3</v>
      </c>
      <c r="C27" s="82">
        <v>1.5390745607796632E-2</v>
      </c>
      <c r="D27" s="82">
        <v>8.0927341513976191E-3</v>
      </c>
      <c r="E27" s="82">
        <v>8.0850411324499202E-3</v>
      </c>
      <c r="F27" s="82">
        <v>7.1128452640472012E-3</v>
      </c>
      <c r="G27" s="82">
        <v>9.8803215025269099E-3</v>
      </c>
      <c r="H27" s="82">
        <v>1.1653275488537923E-2</v>
      </c>
      <c r="I27" s="82">
        <v>5.7852519321463297E-3</v>
      </c>
      <c r="J27" s="82">
        <v>5.7818991246482232E-3</v>
      </c>
      <c r="K27" s="82">
        <v>5.8145243550773926E-3</v>
      </c>
      <c r="L27" s="82">
        <v>1.2747625003285827E-2</v>
      </c>
      <c r="M27" s="82">
        <v>1.5333733231315677E-2</v>
      </c>
      <c r="N27" s="82">
        <v>7.3742679646761405E-3</v>
      </c>
      <c r="O27" s="82">
        <v>7.3890341136924028E-3</v>
      </c>
      <c r="P27" s="82">
        <v>9.0136068757291025E-3</v>
      </c>
      <c r="Q27" s="82">
        <v>3.1313656820238303E-3</v>
      </c>
      <c r="R27" s="82">
        <v>7.63940951103386E-3</v>
      </c>
      <c r="S27" s="82">
        <v>8.5641227105047631E-3</v>
      </c>
      <c r="T27" s="82">
        <v>1.2845909797724708E-2</v>
      </c>
      <c r="U27" s="82">
        <v>1.4002183664527292E-2</v>
      </c>
      <c r="V27" s="82">
        <v>6.5665382552380939E-3</v>
      </c>
      <c r="W27" s="82">
        <v>9.573669754531982E-3</v>
      </c>
      <c r="X27" s="82">
        <v>9.741632916321746E-3</v>
      </c>
      <c r="Y27" s="82">
        <v>1.5525139093457213E-2</v>
      </c>
      <c r="Z27" s="82">
        <v>1.0174658510906334E-2</v>
      </c>
      <c r="AA27" s="82">
        <f>VARP(Data!$AB$112:$AB$160)</f>
        <v>1.4353611948657138E-2</v>
      </c>
      <c r="AB27" s="82"/>
      <c r="AC27" s="82"/>
      <c r="AD27" s="82"/>
      <c r="AE27" s="82"/>
      <c r="AF27" s="82"/>
      <c r="AG27" s="82"/>
      <c r="AH27" s="82"/>
      <c r="AI27" s="82"/>
      <c r="AJ27" s="82"/>
      <c r="AK27" s="82"/>
      <c r="AL27" s="82"/>
      <c r="AM27" s="82"/>
      <c r="AN27" s="82"/>
      <c r="AO27" s="82"/>
      <c r="AP27" s="82"/>
      <c r="AQ27" s="82"/>
      <c r="AR27" s="82"/>
      <c r="AS27" s="82"/>
    </row>
    <row r="28" spans="1:45">
      <c r="A28" s="82" t="s">
        <v>28</v>
      </c>
      <c r="B28" s="82">
        <v>2.6251158205647129E-3</v>
      </c>
      <c r="C28" s="82">
        <v>1.5175524058216851E-2</v>
      </c>
      <c r="D28" s="82">
        <v>9.1054102714541452E-3</v>
      </c>
      <c r="E28" s="82">
        <v>9.233304587823267E-3</v>
      </c>
      <c r="F28" s="82">
        <v>6.6412113019073135E-3</v>
      </c>
      <c r="G28" s="82">
        <v>1.0129536223033753E-2</v>
      </c>
      <c r="H28" s="82">
        <v>1.5345688412736522E-2</v>
      </c>
      <c r="I28" s="82">
        <v>5.6280226797403264E-3</v>
      </c>
      <c r="J28" s="82">
        <v>4.7523472582007781E-3</v>
      </c>
      <c r="K28" s="82">
        <v>7.0823893438827518E-3</v>
      </c>
      <c r="L28" s="82">
        <v>1.3739499087366333E-2</v>
      </c>
      <c r="M28" s="82">
        <v>1.6022807462499723E-2</v>
      </c>
      <c r="N28" s="82">
        <v>7.7093058962306856E-3</v>
      </c>
      <c r="O28" s="82">
        <v>7.9370436443652031E-3</v>
      </c>
      <c r="P28" s="82">
        <v>9.0868320444171882E-3</v>
      </c>
      <c r="Q28" s="82">
        <v>2.893547180073367E-3</v>
      </c>
      <c r="R28" s="82">
        <v>8.3297258643696501E-3</v>
      </c>
      <c r="S28" s="82">
        <v>9.3510524870019842E-3</v>
      </c>
      <c r="T28" s="82">
        <v>1.4290693656263696E-2</v>
      </c>
      <c r="U28" s="82">
        <v>1.2815578591306274E-2</v>
      </c>
      <c r="V28" s="82">
        <v>5.9516411018505503E-3</v>
      </c>
      <c r="W28" s="82">
        <v>1.1156749196127703E-2</v>
      </c>
      <c r="X28" s="82">
        <v>1.1054425372874295E-2</v>
      </c>
      <c r="Y28" s="82">
        <v>1.6210894357525589E-2</v>
      </c>
      <c r="Z28" s="82">
        <v>1.0366184239132445E-2</v>
      </c>
      <c r="AA28" s="82">
        <v>1.0651640428452036E-2</v>
      </c>
      <c r="AB28" s="82">
        <f>VARP(Data!$AC$112:$AC$160)</f>
        <v>1.5764515365299481E-2</v>
      </c>
      <c r="AC28" s="82"/>
      <c r="AD28" s="82"/>
      <c r="AE28" s="82"/>
      <c r="AF28" s="82"/>
      <c r="AG28" s="82"/>
      <c r="AH28" s="82"/>
      <c r="AI28" s="82"/>
      <c r="AJ28" s="82"/>
      <c r="AK28" s="82"/>
      <c r="AL28" s="82"/>
      <c r="AM28" s="82"/>
      <c r="AN28" s="82"/>
      <c r="AO28" s="82"/>
      <c r="AP28" s="82"/>
      <c r="AQ28" s="82"/>
      <c r="AR28" s="82"/>
      <c r="AS28" s="82"/>
    </row>
    <row r="29" spans="1:45">
      <c r="A29" s="82" t="s">
        <v>29</v>
      </c>
      <c r="B29" s="82">
        <v>3.4931194994429976E-3</v>
      </c>
      <c r="C29" s="82">
        <v>1.7780568911481952E-2</v>
      </c>
      <c r="D29" s="82">
        <v>1.0538155388144258E-2</v>
      </c>
      <c r="E29" s="82">
        <v>9.3223687388578804E-3</v>
      </c>
      <c r="F29" s="82">
        <v>7.5249942096322553E-3</v>
      </c>
      <c r="G29" s="82">
        <v>1.2820725748065732E-2</v>
      </c>
      <c r="H29" s="82">
        <v>1.2810873952743407E-2</v>
      </c>
      <c r="I29" s="82">
        <v>7.0469669829552016E-3</v>
      </c>
      <c r="J29" s="82">
        <v>5.4846867314762588E-3</v>
      </c>
      <c r="K29" s="82">
        <v>8.3589756530363241E-3</v>
      </c>
      <c r="L29" s="82">
        <v>1.7012821964993388E-2</v>
      </c>
      <c r="M29" s="82">
        <v>1.7036994025907005E-2</v>
      </c>
      <c r="N29" s="82">
        <v>1.0633055283819077E-2</v>
      </c>
      <c r="O29" s="82">
        <v>7.2211398349134011E-3</v>
      </c>
      <c r="P29" s="82">
        <v>1.0405835502293945E-2</v>
      </c>
      <c r="Q29" s="82">
        <v>3.5913945530752006E-3</v>
      </c>
      <c r="R29" s="82">
        <v>7.9099946904063363E-3</v>
      </c>
      <c r="S29" s="82">
        <v>1.1149270823506405E-2</v>
      </c>
      <c r="T29" s="82">
        <v>1.3918085984855782E-2</v>
      </c>
      <c r="U29" s="82">
        <v>1.433599657891536E-2</v>
      </c>
      <c r="V29" s="82">
        <v>8.8368855864756103E-3</v>
      </c>
      <c r="W29" s="82">
        <v>9.8580843072964518E-3</v>
      </c>
      <c r="X29" s="82">
        <v>1.3770902338777442E-2</v>
      </c>
      <c r="Y29" s="82">
        <v>1.9341638288353197E-2</v>
      </c>
      <c r="Z29" s="82">
        <v>1.3400286217169783E-2</v>
      </c>
      <c r="AA29" s="82">
        <v>1.2797683877961636E-2</v>
      </c>
      <c r="AB29" s="82">
        <v>1.3995547200035131E-2</v>
      </c>
      <c r="AC29" s="82">
        <f>VARP(Data!$AD$112:$AD$160)</f>
        <v>2.6238030819604647E-2</v>
      </c>
      <c r="AD29" s="82"/>
      <c r="AE29" s="82"/>
      <c r="AF29" s="82"/>
      <c r="AG29" s="82"/>
      <c r="AH29" s="82"/>
      <c r="AI29" s="82"/>
      <c r="AJ29" s="82"/>
      <c r="AK29" s="82"/>
      <c r="AL29" s="82"/>
      <c r="AM29" s="82"/>
      <c r="AN29" s="82"/>
      <c r="AO29" s="82"/>
      <c r="AP29" s="82"/>
      <c r="AQ29" s="82"/>
      <c r="AR29" s="82"/>
      <c r="AS29" s="82"/>
    </row>
    <row r="30" spans="1:45">
      <c r="A30" s="82" t="s">
        <v>30</v>
      </c>
      <c r="B30" s="82">
        <v>2.7069434333685774E-3</v>
      </c>
      <c r="C30" s="82">
        <v>1.2603599382375794E-2</v>
      </c>
      <c r="D30" s="82">
        <v>8.3879387678678953E-3</v>
      </c>
      <c r="E30" s="82">
        <v>6.7145225111666868E-3</v>
      </c>
      <c r="F30" s="82">
        <v>5.2957534947088575E-3</v>
      </c>
      <c r="G30" s="82">
        <v>8.9523250424381369E-3</v>
      </c>
      <c r="H30" s="82">
        <v>1.2889353445015081E-2</v>
      </c>
      <c r="I30" s="82">
        <v>5.37051915363718E-3</v>
      </c>
      <c r="J30" s="82">
        <v>3.9150335887880965E-3</v>
      </c>
      <c r="K30" s="82">
        <v>3.8904748127979506E-3</v>
      </c>
      <c r="L30" s="82">
        <v>1.0826403672330055E-2</v>
      </c>
      <c r="M30" s="82">
        <v>1.2445175391224078E-2</v>
      </c>
      <c r="N30" s="82">
        <v>6.6547446198186632E-3</v>
      </c>
      <c r="O30" s="82">
        <v>6.5977835994349664E-3</v>
      </c>
      <c r="P30" s="82">
        <v>6.2914537986380808E-3</v>
      </c>
      <c r="Q30" s="82">
        <v>1.8753399597823534E-3</v>
      </c>
      <c r="R30" s="82">
        <v>7.2829135076910231E-3</v>
      </c>
      <c r="S30" s="82">
        <v>6.5036823518053542E-3</v>
      </c>
      <c r="T30" s="82">
        <v>1.1396228897462442E-2</v>
      </c>
      <c r="U30" s="82">
        <v>1.0268463274877649E-2</v>
      </c>
      <c r="V30" s="82">
        <v>5.8306677536144203E-3</v>
      </c>
      <c r="W30" s="82">
        <v>8.815420174099026E-3</v>
      </c>
      <c r="X30" s="82">
        <v>9.9472000776467655E-3</v>
      </c>
      <c r="Y30" s="82">
        <v>1.3245572062477486E-2</v>
      </c>
      <c r="Z30" s="82">
        <v>7.1766969869555136E-3</v>
      </c>
      <c r="AA30" s="82">
        <v>7.7996315421395429E-3</v>
      </c>
      <c r="AB30" s="82">
        <v>1.0905168516945821E-2</v>
      </c>
      <c r="AC30" s="82">
        <v>1.0636560985272634E-2</v>
      </c>
      <c r="AD30" s="82">
        <f>VARP(Data!$AE$112:$AE$160)</f>
        <v>1.2558130047153464E-2</v>
      </c>
      <c r="AE30" s="82"/>
      <c r="AF30" s="82"/>
      <c r="AG30" s="82"/>
      <c r="AH30" s="82"/>
      <c r="AI30" s="82"/>
      <c r="AJ30" s="82"/>
      <c r="AK30" s="82"/>
      <c r="AL30" s="82"/>
      <c r="AM30" s="82"/>
      <c r="AN30" s="82"/>
      <c r="AO30" s="82"/>
      <c r="AP30" s="82"/>
      <c r="AQ30" s="82"/>
      <c r="AR30" s="82"/>
      <c r="AS30" s="82"/>
    </row>
    <row r="31" spans="1:45">
      <c r="A31" s="82" t="s">
        <v>31</v>
      </c>
      <c r="B31" s="82">
        <v>2.2818587769499648E-3</v>
      </c>
      <c r="C31" s="82">
        <v>1.1549779595533743E-2</v>
      </c>
      <c r="D31" s="82">
        <v>8.1241875140460017E-3</v>
      </c>
      <c r="E31" s="82">
        <v>7.7825144514077028E-3</v>
      </c>
      <c r="F31" s="82">
        <v>5.3254782576316632E-3</v>
      </c>
      <c r="G31" s="82">
        <v>9.3660037904635188E-3</v>
      </c>
      <c r="H31" s="82">
        <v>1.2466924634499223E-2</v>
      </c>
      <c r="I31" s="82">
        <v>4.8673435160342896E-3</v>
      </c>
      <c r="J31" s="82">
        <v>4.4023392907090132E-3</v>
      </c>
      <c r="K31" s="82">
        <v>5.3331352446741318E-3</v>
      </c>
      <c r="L31" s="82">
        <v>1.163030145342696E-2</v>
      </c>
      <c r="M31" s="82">
        <v>1.1531246902832684E-2</v>
      </c>
      <c r="N31" s="82">
        <v>5.6078532602046351E-3</v>
      </c>
      <c r="O31" s="82">
        <v>5.5356819602619843E-3</v>
      </c>
      <c r="P31" s="82">
        <v>6.7274616321438907E-3</v>
      </c>
      <c r="Q31" s="82">
        <v>2.6144948871083483E-3</v>
      </c>
      <c r="R31" s="82">
        <v>6.6316336621605344E-3</v>
      </c>
      <c r="S31" s="82">
        <v>7.636725302356537E-3</v>
      </c>
      <c r="T31" s="82">
        <v>1.2163002038203625E-2</v>
      </c>
      <c r="U31" s="82">
        <v>1.1635462616352468E-2</v>
      </c>
      <c r="V31" s="82">
        <v>6.2334768523994253E-3</v>
      </c>
      <c r="W31" s="82">
        <v>8.513756182339698E-3</v>
      </c>
      <c r="X31" s="82">
        <v>1.0408104155007423E-2</v>
      </c>
      <c r="Y31" s="82">
        <v>1.2468875329230874E-2</v>
      </c>
      <c r="Z31" s="82">
        <v>8.0535935923290794E-3</v>
      </c>
      <c r="AA31" s="82">
        <v>8.5025642246749564E-3</v>
      </c>
      <c r="AB31" s="82">
        <v>1.0249537675675957E-2</v>
      </c>
      <c r="AC31" s="82">
        <v>9.9814976405487501E-3</v>
      </c>
      <c r="AD31" s="82">
        <v>9.4333689790748274E-3</v>
      </c>
      <c r="AE31" s="82">
        <f>VARP(Data!$AF$112:$AF$160)</f>
        <v>1.0025160264264988E-2</v>
      </c>
      <c r="AF31" s="82"/>
      <c r="AG31" s="82"/>
      <c r="AH31" s="82"/>
      <c r="AI31" s="82"/>
      <c r="AJ31" s="82"/>
      <c r="AK31" s="82"/>
      <c r="AL31" s="82"/>
      <c r="AM31" s="82"/>
      <c r="AN31" s="82"/>
      <c r="AO31" s="82"/>
      <c r="AP31" s="82"/>
      <c r="AQ31" s="82"/>
      <c r="AR31" s="82"/>
      <c r="AS31" s="82"/>
    </row>
    <row r="32" spans="1:45">
      <c r="A32" s="82" t="s">
        <v>32</v>
      </c>
      <c r="B32" s="82">
        <v>9.6450393228087426E-4</v>
      </c>
      <c r="C32" s="82">
        <v>5.5381782150378004E-3</v>
      </c>
      <c r="D32" s="82">
        <v>2.5372753285039275E-3</v>
      </c>
      <c r="E32" s="82">
        <v>3.7639484698462006E-3</v>
      </c>
      <c r="F32" s="82">
        <v>4.1530309459347067E-3</v>
      </c>
      <c r="G32" s="82">
        <v>2.7415652709754357E-3</v>
      </c>
      <c r="H32" s="82">
        <v>5.02114734591836E-3</v>
      </c>
      <c r="I32" s="82">
        <v>1.8466798043139498E-3</v>
      </c>
      <c r="J32" s="82">
        <v>2.5278829973609646E-3</v>
      </c>
      <c r="K32" s="82">
        <v>1.3312902737376944E-3</v>
      </c>
      <c r="L32" s="82">
        <v>4.5150496513167541E-3</v>
      </c>
      <c r="M32" s="82">
        <v>7.9057733275177972E-3</v>
      </c>
      <c r="N32" s="82">
        <v>1.9743845560773314E-3</v>
      </c>
      <c r="O32" s="82">
        <v>3.4544731046857202E-3</v>
      </c>
      <c r="P32" s="82">
        <v>2.8468246880881151E-3</v>
      </c>
      <c r="Q32" s="82">
        <v>2.6184627649765459E-3</v>
      </c>
      <c r="R32" s="82">
        <v>2.5781077594470674E-3</v>
      </c>
      <c r="S32" s="82">
        <v>3.2972421369471877E-3</v>
      </c>
      <c r="T32" s="82">
        <v>3.8224365645273392E-3</v>
      </c>
      <c r="U32" s="82">
        <v>3.9530078428365954E-3</v>
      </c>
      <c r="V32" s="82">
        <v>1.7643940054104799E-3</v>
      </c>
      <c r="W32" s="82">
        <v>2.5431012599832978E-3</v>
      </c>
      <c r="X32" s="82">
        <v>3.5247234753276956E-3</v>
      </c>
      <c r="Y32" s="82">
        <v>6.339113112661437E-3</v>
      </c>
      <c r="Z32" s="82">
        <v>4.6085698590752171E-3</v>
      </c>
      <c r="AA32" s="82">
        <v>4.5572222498809793E-3</v>
      </c>
      <c r="AB32" s="82">
        <v>5.0966556435972877E-3</v>
      </c>
      <c r="AC32" s="82">
        <v>5.3272351972929516E-3</v>
      </c>
      <c r="AD32" s="82">
        <v>3.2733725077135323E-3</v>
      </c>
      <c r="AE32" s="82">
        <v>3.5611649472320019E-3</v>
      </c>
      <c r="AF32" s="82">
        <f>VARP(Data!$AG$112:$AG$160)</f>
        <v>5.2025981075312982E-3</v>
      </c>
      <c r="AG32" s="82"/>
      <c r="AH32" s="82"/>
      <c r="AI32" s="82"/>
      <c r="AJ32" s="82"/>
      <c r="AK32" s="82"/>
      <c r="AL32" s="82"/>
      <c r="AM32" s="82"/>
      <c r="AN32" s="82"/>
      <c r="AO32" s="82"/>
      <c r="AP32" s="82"/>
      <c r="AQ32" s="82"/>
      <c r="AR32" s="82"/>
      <c r="AS32" s="82"/>
    </row>
    <row r="33" spans="1:45">
      <c r="A33" s="82" t="s">
        <v>33</v>
      </c>
      <c r="B33" s="82">
        <v>1.7853833799094377E-3</v>
      </c>
      <c r="C33" s="82">
        <v>1.0116147457236159E-2</v>
      </c>
      <c r="D33" s="82">
        <v>6.3579157901898645E-3</v>
      </c>
      <c r="E33" s="82">
        <v>5.6207723650445749E-3</v>
      </c>
      <c r="F33" s="82">
        <v>3.8170132738369611E-3</v>
      </c>
      <c r="G33" s="82">
        <v>7.9278493725721284E-3</v>
      </c>
      <c r="H33" s="82">
        <v>1.0168974962658891E-2</v>
      </c>
      <c r="I33" s="82">
        <v>4.0612805356190721E-3</v>
      </c>
      <c r="J33" s="82">
        <v>4.4510063417396968E-3</v>
      </c>
      <c r="K33" s="82">
        <v>4.1148851008320541E-3</v>
      </c>
      <c r="L33" s="82">
        <v>9.4746936323196647E-3</v>
      </c>
      <c r="M33" s="82">
        <v>8.8310074634245506E-3</v>
      </c>
      <c r="N33" s="82">
        <v>6.1530704997073762E-3</v>
      </c>
      <c r="O33" s="82">
        <v>4.5868973486697323E-3</v>
      </c>
      <c r="P33" s="82">
        <v>6.4624019767600908E-3</v>
      </c>
      <c r="Q33" s="82">
        <v>2.0250920676338929E-3</v>
      </c>
      <c r="R33" s="82">
        <v>5.5553110749456784E-3</v>
      </c>
      <c r="S33" s="82">
        <v>7.0373243304190933E-3</v>
      </c>
      <c r="T33" s="82">
        <v>1.0541737328222269E-2</v>
      </c>
      <c r="U33" s="82">
        <v>1.1438687484801249E-2</v>
      </c>
      <c r="V33" s="82">
        <v>5.9030046915974476E-3</v>
      </c>
      <c r="W33" s="82">
        <v>6.7299584229313638E-3</v>
      </c>
      <c r="X33" s="82">
        <v>9.4045765959275881E-3</v>
      </c>
      <c r="Y33" s="82">
        <v>1.0249099909912268E-2</v>
      </c>
      <c r="Z33" s="82">
        <v>7.1579634079886097E-3</v>
      </c>
      <c r="AA33" s="82">
        <v>8.6307434856846381E-3</v>
      </c>
      <c r="AB33" s="82">
        <v>7.2278751030797651E-3</v>
      </c>
      <c r="AC33" s="82">
        <v>8.5880232374099565E-3</v>
      </c>
      <c r="AD33" s="82">
        <v>6.7601809399465982E-3</v>
      </c>
      <c r="AE33" s="82">
        <v>7.5667918176636033E-3</v>
      </c>
      <c r="AF33" s="82">
        <v>2.167761066503029E-3</v>
      </c>
      <c r="AG33" s="82">
        <f>VARP(Data!$AH$112:$AH$160)</f>
        <v>9.0540992720456667E-3</v>
      </c>
      <c r="AH33" s="82"/>
      <c r="AI33" s="82"/>
      <c r="AJ33" s="82"/>
      <c r="AK33" s="82"/>
      <c r="AL33" s="82"/>
      <c r="AM33" s="82"/>
      <c r="AN33" s="82"/>
      <c r="AO33" s="82"/>
      <c r="AP33" s="82"/>
      <c r="AQ33" s="82"/>
      <c r="AR33" s="82"/>
      <c r="AS33" s="82"/>
    </row>
    <row r="34" spans="1:45">
      <c r="A34" s="82" t="s">
        <v>34</v>
      </c>
      <c r="B34" s="82">
        <v>2.154819736827164E-3</v>
      </c>
      <c r="C34" s="82">
        <v>1.1566019165904426E-2</v>
      </c>
      <c r="D34" s="82">
        <v>6.5220562557825002E-3</v>
      </c>
      <c r="E34" s="82">
        <v>6.8750780286986968E-3</v>
      </c>
      <c r="F34" s="82">
        <v>5.5556923903222937E-3</v>
      </c>
      <c r="G34" s="82">
        <v>7.4584501161663805E-3</v>
      </c>
      <c r="H34" s="82">
        <v>1.0014384974150914E-2</v>
      </c>
      <c r="I34" s="82">
        <v>4.7216250091162088E-3</v>
      </c>
      <c r="J34" s="82">
        <v>4.257668653176571E-3</v>
      </c>
      <c r="K34" s="82">
        <v>4.9765384686930054E-3</v>
      </c>
      <c r="L34" s="82">
        <v>1.0049770603962924E-2</v>
      </c>
      <c r="M34" s="82">
        <v>1.183580643033047E-2</v>
      </c>
      <c r="N34" s="82">
        <v>5.5221887113060149E-3</v>
      </c>
      <c r="O34" s="82">
        <v>5.5338525896725561E-3</v>
      </c>
      <c r="P34" s="82">
        <v>6.8922188281634201E-3</v>
      </c>
      <c r="Q34" s="82">
        <v>2.9616110401932843E-3</v>
      </c>
      <c r="R34" s="82">
        <v>5.7678599510111164E-3</v>
      </c>
      <c r="S34" s="82">
        <v>7.3351344369241584E-3</v>
      </c>
      <c r="T34" s="82">
        <v>9.7196328571571497E-3</v>
      </c>
      <c r="U34" s="82">
        <v>1.0413416773690329E-2</v>
      </c>
      <c r="V34" s="82">
        <v>4.9363583021613099E-3</v>
      </c>
      <c r="W34" s="82">
        <v>7.5641493729647338E-3</v>
      </c>
      <c r="X34" s="82">
        <v>7.9966086305556568E-3</v>
      </c>
      <c r="Y34" s="82">
        <v>1.1716440949660324E-2</v>
      </c>
      <c r="Z34" s="82">
        <v>7.7526188640861995E-3</v>
      </c>
      <c r="AA34" s="82">
        <v>9.1117333803551609E-3</v>
      </c>
      <c r="AB34" s="82">
        <v>8.8249126138562357E-3</v>
      </c>
      <c r="AC34" s="82">
        <v>9.2176015734168441E-3</v>
      </c>
      <c r="AD34" s="82">
        <v>6.8643692152247481E-3</v>
      </c>
      <c r="AE34" s="82">
        <v>6.9870860095731504E-3</v>
      </c>
      <c r="AF34" s="82">
        <v>3.6280383567479789E-3</v>
      </c>
      <c r="AG34" s="82">
        <v>6.0519088863019346E-3</v>
      </c>
      <c r="AH34" s="82">
        <f>VARP(Data!$AI$112:$AI$160)</f>
        <v>7.9930282108195867E-3</v>
      </c>
      <c r="AI34" s="82"/>
      <c r="AJ34" s="82"/>
      <c r="AK34" s="82"/>
      <c r="AL34" s="82"/>
      <c r="AM34" s="82"/>
      <c r="AN34" s="82"/>
      <c r="AO34" s="82"/>
      <c r="AP34" s="82"/>
      <c r="AQ34" s="82"/>
      <c r="AR34" s="82"/>
      <c r="AS34" s="82"/>
    </row>
    <row r="35" spans="1:45">
      <c r="A35" s="82" t="s">
        <v>35</v>
      </c>
      <c r="B35" s="82">
        <v>2.9934701404329671E-3</v>
      </c>
      <c r="C35" s="82">
        <v>9.9076453934492589E-3</v>
      </c>
      <c r="D35" s="82">
        <v>7.8451136020819077E-3</v>
      </c>
      <c r="E35" s="82">
        <v>5.5862587380309065E-3</v>
      </c>
      <c r="F35" s="82">
        <v>3.932137603268525E-3</v>
      </c>
      <c r="G35" s="82">
        <v>8.4449196868403281E-3</v>
      </c>
      <c r="H35" s="82">
        <v>8.3056577713616908E-3</v>
      </c>
      <c r="I35" s="82">
        <v>6.0816031386719269E-3</v>
      </c>
      <c r="J35" s="82">
        <v>4.2530357723228286E-3</v>
      </c>
      <c r="K35" s="82">
        <v>4.4588884012338285E-3</v>
      </c>
      <c r="L35" s="82">
        <v>7.0835205165464552E-3</v>
      </c>
      <c r="M35" s="82">
        <v>8.6257604918999371E-3</v>
      </c>
      <c r="N35" s="82">
        <v>5.1998315471282639E-3</v>
      </c>
      <c r="O35" s="82">
        <v>4.0945029698565213E-3</v>
      </c>
      <c r="P35" s="82">
        <v>4.9053446943074092E-3</v>
      </c>
      <c r="Q35" s="82">
        <v>1.6085638073706169E-3</v>
      </c>
      <c r="R35" s="82">
        <v>5.474117068304093E-3</v>
      </c>
      <c r="S35" s="82">
        <v>4.9129868349108751E-3</v>
      </c>
      <c r="T35" s="82">
        <v>9.0026289821969405E-3</v>
      </c>
      <c r="U35" s="82">
        <v>9.4260065057251204E-3</v>
      </c>
      <c r="V35" s="82">
        <v>6.04210430550149E-3</v>
      </c>
      <c r="W35" s="82">
        <v>5.6019256993682376E-3</v>
      </c>
      <c r="X35" s="82">
        <v>8.0359729384128255E-3</v>
      </c>
      <c r="Y35" s="82">
        <v>1.0031498579925916E-2</v>
      </c>
      <c r="Z35" s="82">
        <v>5.9734246903226694E-3</v>
      </c>
      <c r="AA35" s="82">
        <v>7.2323897033652398E-3</v>
      </c>
      <c r="AB35" s="82">
        <v>7.0786389578727108E-3</v>
      </c>
      <c r="AC35" s="82">
        <v>8.9477049991889407E-3</v>
      </c>
      <c r="AD35" s="82">
        <v>6.9519800502416138E-3</v>
      </c>
      <c r="AE35" s="82">
        <v>6.6598293256833795E-3</v>
      </c>
      <c r="AF35" s="82">
        <v>1.3830881661340262E-3</v>
      </c>
      <c r="AG35" s="82">
        <v>5.781288854418273E-3</v>
      </c>
      <c r="AH35" s="82">
        <v>5.4402543544858888E-3</v>
      </c>
      <c r="AI35" s="82">
        <f>VARP(Data!$AJ$112:$AJ$160)</f>
        <v>7.8288219167804637E-3</v>
      </c>
      <c r="AJ35" s="82"/>
      <c r="AK35" s="82"/>
      <c r="AL35" s="82"/>
      <c r="AM35" s="82"/>
      <c r="AN35" s="82"/>
      <c r="AO35" s="82"/>
      <c r="AP35" s="82"/>
      <c r="AQ35" s="82"/>
      <c r="AR35" s="82"/>
      <c r="AS35" s="82"/>
    </row>
    <row r="36" spans="1:45">
      <c r="A36" s="82" t="s">
        <v>36</v>
      </c>
      <c r="B36" s="82">
        <v>2.7248120911758968E-3</v>
      </c>
      <c r="C36" s="82">
        <v>9.1221715476188705E-3</v>
      </c>
      <c r="D36" s="82">
        <v>5.3002331914781776E-3</v>
      </c>
      <c r="E36" s="82">
        <v>6.3194759280819305E-3</v>
      </c>
      <c r="F36" s="82">
        <v>3.6805709558722262E-3</v>
      </c>
      <c r="G36" s="82">
        <v>6.5025095589275866E-3</v>
      </c>
      <c r="H36" s="82">
        <v>8.0723410065614842E-3</v>
      </c>
      <c r="I36" s="82">
        <v>4.8711269876136375E-3</v>
      </c>
      <c r="J36" s="82">
        <v>6.2123557790378856E-3</v>
      </c>
      <c r="K36" s="82">
        <v>3.5903622094072257E-3</v>
      </c>
      <c r="L36" s="82">
        <v>7.6077441984115039E-3</v>
      </c>
      <c r="M36" s="82">
        <v>1.0123310153702231E-2</v>
      </c>
      <c r="N36" s="82">
        <v>5.3208519171055908E-3</v>
      </c>
      <c r="O36" s="82">
        <v>5.8613838698077852E-3</v>
      </c>
      <c r="P36" s="82">
        <v>5.231805559473523E-3</v>
      </c>
      <c r="Q36" s="82">
        <v>2.0362334619564021E-3</v>
      </c>
      <c r="R36" s="82">
        <v>5.1438807255704926E-3</v>
      </c>
      <c r="S36" s="82">
        <v>5.7724552510374331E-3</v>
      </c>
      <c r="T36" s="82">
        <v>6.9840592243126196E-3</v>
      </c>
      <c r="U36" s="82">
        <v>8.8292100397315901E-3</v>
      </c>
      <c r="V36" s="82">
        <v>3.8438411202361498E-3</v>
      </c>
      <c r="W36" s="82">
        <v>5.6714142175286961E-3</v>
      </c>
      <c r="X36" s="82">
        <v>6.9490953907362383E-3</v>
      </c>
      <c r="Y36" s="82">
        <v>9.7975761535345051E-3</v>
      </c>
      <c r="Z36" s="82">
        <v>6.1985438353199841E-3</v>
      </c>
      <c r="AA36" s="82">
        <v>6.3989922952531319E-3</v>
      </c>
      <c r="AB36" s="82">
        <v>7.3754806787344994E-3</v>
      </c>
      <c r="AC36" s="82">
        <v>8.2161519918038956E-3</v>
      </c>
      <c r="AD36" s="82">
        <v>5.747171604650895E-3</v>
      </c>
      <c r="AE36" s="82">
        <v>5.5415745883253742E-3</v>
      </c>
      <c r="AF36" s="82">
        <v>3.3153554946090185E-3</v>
      </c>
      <c r="AG36" s="82">
        <v>4.0769390234908359E-3</v>
      </c>
      <c r="AH36" s="82">
        <v>5.5576485111947689E-3</v>
      </c>
      <c r="AI36" s="82">
        <v>4.6071538092631063E-3</v>
      </c>
      <c r="AJ36" s="82">
        <f>VARP(Data!$AK$112:$AK$160)</f>
        <v>8.9025095669801654E-3</v>
      </c>
      <c r="AK36" s="82"/>
      <c r="AL36" s="82"/>
      <c r="AM36" s="82"/>
      <c r="AN36" s="82"/>
      <c r="AO36" s="82"/>
      <c r="AP36" s="82"/>
      <c r="AQ36" s="82"/>
      <c r="AR36" s="82"/>
      <c r="AS36" s="82"/>
    </row>
    <row r="37" spans="1:45">
      <c r="A37" s="82" t="s">
        <v>37</v>
      </c>
      <c r="B37" s="82">
        <v>4.6004385924365903E-3</v>
      </c>
      <c r="C37" s="82">
        <v>2.3616449914954797E-2</v>
      </c>
      <c r="D37" s="82">
        <v>1.4189353657467043E-2</v>
      </c>
      <c r="E37" s="82">
        <v>1.457231445832338E-2</v>
      </c>
      <c r="F37" s="82">
        <v>1.2035483331480391E-2</v>
      </c>
      <c r="G37" s="82">
        <v>1.6211961616522948E-2</v>
      </c>
      <c r="H37" s="82">
        <v>2.3255391217424922E-2</v>
      </c>
      <c r="I37" s="82">
        <v>8.5030154525348803E-3</v>
      </c>
      <c r="J37" s="82">
        <v>8.4416111917319653E-3</v>
      </c>
      <c r="K37" s="82">
        <v>9.9108644272272416E-3</v>
      </c>
      <c r="L37" s="82">
        <v>2.2137916943056002E-2</v>
      </c>
      <c r="M37" s="82">
        <v>2.6251055723255947E-2</v>
      </c>
      <c r="N37" s="82">
        <v>1.1466419641904389E-2</v>
      </c>
      <c r="O37" s="82">
        <v>1.2075479201004151E-2</v>
      </c>
      <c r="P37" s="82">
        <v>1.2972415462123672E-2</v>
      </c>
      <c r="Q37" s="82">
        <v>5.5291618772793502E-3</v>
      </c>
      <c r="R37" s="82">
        <v>1.3409711239431405E-2</v>
      </c>
      <c r="S37" s="82">
        <v>1.4191144491448383E-2</v>
      </c>
      <c r="T37" s="82">
        <v>2.1546500029695142E-2</v>
      </c>
      <c r="U37" s="82">
        <v>2.0238370559841592E-2</v>
      </c>
      <c r="V37" s="82">
        <v>1.0776933800183144E-2</v>
      </c>
      <c r="W37" s="82">
        <v>1.6528728234205384E-2</v>
      </c>
      <c r="X37" s="82">
        <v>1.7705320805308539E-2</v>
      </c>
      <c r="Y37" s="82">
        <v>2.5377076767041627E-2</v>
      </c>
      <c r="Z37" s="82">
        <v>1.5960584372299538E-2</v>
      </c>
      <c r="AA37" s="82">
        <v>1.7312090598665831E-2</v>
      </c>
      <c r="AB37" s="82">
        <v>2.0693087802411064E-2</v>
      </c>
      <c r="AC37" s="82">
        <v>2.3313120022424878E-2</v>
      </c>
      <c r="AD37" s="82">
        <v>1.6514150660590639E-2</v>
      </c>
      <c r="AE37" s="82">
        <v>1.6042832422782583E-2</v>
      </c>
      <c r="AF37" s="82">
        <v>9.2859199817813751E-3</v>
      </c>
      <c r="AG37" s="82">
        <v>1.2805071806392758E-2</v>
      </c>
      <c r="AH37" s="82">
        <v>1.3550362946514512E-2</v>
      </c>
      <c r="AI37" s="82">
        <v>1.0613149381307887E-2</v>
      </c>
      <c r="AJ37" s="82">
        <v>1.1284344802959787E-2</v>
      </c>
      <c r="AK37" s="82">
        <f>VARP(Data!$AL$112:$AL$160)</f>
        <v>3.6585527420986051E-2</v>
      </c>
      <c r="AL37" s="82"/>
      <c r="AM37" s="82"/>
      <c r="AN37" s="82"/>
      <c r="AO37" s="82"/>
      <c r="AP37" s="82"/>
      <c r="AQ37" s="82"/>
      <c r="AR37" s="82"/>
      <c r="AS37" s="82"/>
    </row>
    <row r="38" spans="1:45">
      <c r="A38" s="82" t="s">
        <v>38</v>
      </c>
      <c r="B38" s="82">
        <v>3.3124081653691721E-3</v>
      </c>
      <c r="C38" s="82">
        <v>1.5345251236318294E-2</v>
      </c>
      <c r="D38" s="82">
        <v>9.224744315186776E-3</v>
      </c>
      <c r="E38" s="82">
        <v>7.4060835031998966E-3</v>
      </c>
      <c r="F38" s="82">
        <v>6.003152203936735E-3</v>
      </c>
      <c r="G38" s="82">
        <v>1.0119468657288504E-2</v>
      </c>
      <c r="H38" s="82">
        <v>1.4639703069179005E-2</v>
      </c>
      <c r="I38" s="82">
        <v>3.9330158359939743E-3</v>
      </c>
      <c r="J38" s="82">
        <v>4.5107277749453049E-3</v>
      </c>
      <c r="K38" s="82">
        <v>5.8953735211800225E-3</v>
      </c>
      <c r="L38" s="82">
        <v>1.5532267615437809E-2</v>
      </c>
      <c r="M38" s="82">
        <v>1.5331612337833587E-2</v>
      </c>
      <c r="N38" s="82">
        <v>9.5776169008684048E-3</v>
      </c>
      <c r="O38" s="82">
        <v>8.8265123731533449E-3</v>
      </c>
      <c r="P38" s="82">
        <v>1.2193429075660227E-2</v>
      </c>
      <c r="Q38" s="82">
        <v>2.9584840518090908E-3</v>
      </c>
      <c r="R38" s="82">
        <v>9.3780202197998562E-3</v>
      </c>
      <c r="S38" s="82">
        <v>9.5350974204742121E-3</v>
      </c>
      <c r="T38" s="82">
        <v>1.6501034362927873E-2</v>
      </c>
      <c r="U38" s="82">
        <v>1.228388789873117E-2</v>
      </c>
      <c r="V38" s="82">
        <v>7.6320439679303199E-3</v>
      </c>
      <c r="W38" s="82">
        <v>1.1105041958464727E-2</v>
      </c>
      <c r="X38" s="82">
        <v>1.1770484327504766E-2</v>
      </c>
      <c r="Y38" s="82">
        <v>1.7425764392350974E-2</v>
      </c>
      <c r="Z38" s="82">
        <v>9.9446979228646412E-3</v>
      </c>
      <c r="AA38" s="82">
        <v>1.2054041791891804E-2</v>
      </c>
      <c r="AB38" s="82">
        <v>1.2428405067430467E-2</v>
      </c>
      <c r="AC38" s="82">
        <v>1.4886608732329604E-2</v>
      </c>
      <c r="AD38" s="82">
        <v>1.1405861524585221E-2</v>
      </c>
      <c r="AE38" s="82">
        <v>1.0656255895244986E-2</v>
      </c>
      <c r="AF38" s="82">
        <v>3.4445562748411729E-3</v>
      </c>
      <c r="AG38" s="82">
        <v>8.0966000666395019E-3</v>
      </c>
      <c r="AH38" s="82">
        <v>8.9145990870845293E-3</v>
      </c>
      <c r="AI38" s="82">
        <v>8.421253782211471E-3</v>
      </c>
      <c r="AJ38" s="82">
        <v>6.7583894029325971E-3</v>
      </c>
      <c r="AK38" s="82">
        <v>1.8390508881929599E-2</v>
      </c>
      <c r="AL38" s="82">
        <f>VARP(Data!$AM$112:$AM$160)</f>
        <v>2.5378391036171236E-2</v>
      </c>
      <c r="AM38" s="82"/>
      <c r="AN38" s="82"/>
      <c r="AO38" s="82"/>
      <c r="AP38" s="82"/>
      <c r="AQ38" s="82"/>
      <c r="AR38" s="82"/>
      <c r="AS38" s="82"/>
    </row>
    <row r="39" spans="1:45">
      <c r="A39" s="82" t="s">
        <v>39</v>
      </c>
      <c r="B39" s="82">
        <v>3.3562295918746297E-3</v>
      </c>
      <c r="C39" s="82">
        <v>1.712557170961785E-2</v>
      </c>
      <c r="D39" s="82">
        <v>1.1641422707569246E-2</v>
      </c>
      <c r="E39" s="82">
        <v>1.135037535078748E-2</v>
      </c>
      <c r="F39" s="82">
        <v>8.1819176929827948E-3</v>
      </c>
      <c r="G39" s="82">
        <v>1.2574138715809063E-2</v>
      </c>
      <c r="H39" s="82">
        <v>1.9585980283335733E-2</v>
      </c>
      <c r="I39" s="82">
        <v>5.3626054765380342E-3</v>
      </c>
      <c r="J39" s="82">
        <v>7.8977895677490376E-3</v>
      </c>
      <c r="K39" s="82">
        <v>8.061756177317846E-3</v>
      </c>
      <c r="L39" s="82">
        <v>1.7470123869276183E-2</v>
      </c>
      <c r="M39" s="82">
        <v>1.7807674935736834E-2</v>
      </c>
      <c r="N39" s="82">
        <v>9.2404509367522251E-3</v>
      </c>
      <c r="O39" s="82">
        <v>7.4380999021627526E-3</v>
      </c>
      <c r="P39" s="82">
        <v>1.1852851472379761E-2</v>
      </c>
      <c r="Q39" s="82">
        <v>3.2018371372108129E-3</v>
      </c>
      <c r="R39" s="82">
        <v>9.3346796352462881E-3</v>
      </c>
      <c r="S39" s="82">
        <v>1.2391094172068986E-2</v>
      </c>
      <c r="T39" s="82">
        <v>2.1163457961157095E-2</v>
      </c>
      <c r="U39" s="82">
        <v>1.8381389467747429E-2</v>
      </c>
      <c r="V39" s="82">
        <v>9.0118859155532537E-3</v>
      </c>
      <c r="W39" s="82">
        <v>1.3319710177297149E-2</v>
      </c>
      <c r="X39" s="82">
        <v>1.5559855297932683E-2</v>
      </c>
      <c r="Y39" s="82">
        <v>1.902902734238044E-2</v>
      </c>
      <c r="Z39" s="82">
        <v>1.2574367552559168E-2</v>
      </c>
      <c r="AA39" s="82">
        <v>1.3416336888167384E-2</v>
      </c>
      <c r="AB39" s="82">
        <v>1.583345339556555E-2</v>
      </c>
      <c r="AC39" s="82">
        <v>1.4679894705375779E-2</v>
      </c>
      <c r="AD39" s="82">
        <v>1.3924138292351472E-2</v>
      </c>
      <c r="AE39" s="82">
        <v>1.3839795275499129E-2</v>
      </c>
      <c r="AF39" s="82">
        <v>5.179192450045925E-3</v>
      </c>
      <c r="AG39" s="82">
        <v>1.1293032020099875E-2</v>
      </c>
      <c r="AH39" s="82">
        <v>1.0949790152728525E-2</v>
      </c>
      <c r="AI39" s="82">
        <v>9.5091435983950708E-3</v>
      </c>
      <c r="AJ39" s="82">
        <v>9.0052743807843127E-3</v>
      </c>
      <c r="AK39" s="82">
        <v>2.4255359828168115E-2</v>
      </c>
      <c r="AL39" s="82">
        <v>1.6838853757588413E-2</v>
      </c>
      <c r="AM39" s="82">
        <f>VARP(Data!$AN$112:$AN$160)</f>
        <v>2.5389261720974741E-2</v>
      </c>
      <c r="AN39" s="82"/>
      <c r="AO39" s="82"/>
      <c r="AP39" s="82"/>
      <c r="AQ39" s="82"/>
      <c r="AR39" s="82"/>
      <c r="AS39" s="82"/>
    </row>
    <row r="40" spans="1:45">
      <c r="A40" s="82" t="s">
        <v>40</v>
      </c>
      <c r="B40" s="82">
        <v>2.3846734613984762E-3</v>
      </c>
      <c r="C40" s="82">
        <v>1.2272559534572911E-2</v>
      </c>
      <c r="D40" s="82">
        <v>7.5170214817441893E-3</v>
      </c>
      <c r="E40" s="82">
        <v>8.2601011004235277E-3</v>
      </c>
      <c r="F40" s="82">
        <v>5.5209994771736872E-3</v>
      </c>
      <c r="G40" s="82">
        <v>9.3793011461158707E-3</v>
      </c>
      <c r="H40" s="82">
        <v>1.2149890654580199E-2</v>
      </c>
      <c r="I40" s="82">
        <v>4.8531176831619286E-3</v>
      </c>
      <c r="J40" s="82">
        <v>5.268986908549626E-3</v>
      </c>
      <c r="K40" s="82">
        <v>5.7310599275739778E-3</v>
      </c>
      <c r="L40" s="82">
        <v>1.1279650939018813E-2</v>
      </c>
      <c r="M40" s="82">
        <v>1.2083877931158679E-2</v>
      </c>
      <c r="N40" s="82">
        <v>5.6824182936426257E-3</v>
      </c>
      <c r="O40" s="82">
        <v>4.09465009224855E-3</v>
      </c>
      <c r="P40" s="82">
        <v>7.4753319662754251E-3</v>
      </c>
      <c r="Q40" s="82">
        <v>2.1558094538158884E-3</v>
      </c>
      <c r="R40" s="82">
        <v>6.4025776917299004E-3</v>
      </c>
      <c r="S40" s="82">
        <v>8.0895146018083314E-3</v>
      </c>
      <c r="T40" s="82">
        <v>1.4314210404447067E-2</v>
      </c>
      <c r="U40" s="82">
        <v>1.0839671604843901E-2</v>
      </c>
      <c r="V40" s="82">
        <v>5.5263348871206069E-3</v>
      </c>
      <c r="W40" s="82">
        <v>9.9431077852819589E-3</v>
      </c>
      <c r="X40" s="82">
        <v>9.4136226488934632E-3</v>
      </c>
      <c r="Y40" s="82">
        <v>1.2724246127551344E-2</v>
      </c>
      <c r="Z40" s="82">
        <v>7.9133797619817293E-3</v>
      </c>
      <c r="AA40" s="82">
        <v>8.4363831273924147E-3</v>
      </c>
      <c r="AB40" s="82">
        <v>1.1048639654195341E-2</v>
      </c>
      <c r="AC40" s="82">
        <v>9.8025372682108373E-3</v>
      </c>
      <c r="AD40" s="82">
        <v>8.2447996727143483E-3</v>
      </c>
      <c r="AE40" s="82">
        <v>8.1840471945238205E-3</v>
      </c>
      <c r="AF40" s="82">
        <v>3.2700217366036385E-3</v>
      </c>
      <c r="AG40" s="82">
        <v>6.5381868316339593E-3</v>
      </c>
      <c r="AH40" s="82">
        <v>6.8765238523483142E-3</v>
      </c>
      <c r="AI40" s="82">
        <v>6.0732990148511298E-3</v>
      </c>
      <c r="AJ40" s="82">
        <v>6.2610684342306513E-3</v>
      </c>
      <c r="AK40" s="82">
        <v>1.6804498331749549E-2</v>
      </c>
      <c r="AL40" s="82">
        <v>9.4678902394740791E-3</v>
      </c>
      <c r="AM40" s="82">
        <v>1.543443369602015E-2</v>
      </c>
      <c r="AN40" s="82">
        <f>VARP(Data!$AO$112:$AO$160)</f>
        <v>1.3318708833365016E-2</v>
      </c>
      <c r="AO40" s="82"/>
      <c r="AP40" s="82"/>
      <c r="AQ40" s="82"/>
      <c r="AR40" s="82"/>
      <c r="AS40" s="82"/>
    </row>
    <row r="41" spans="1:45">
      <c r="A41" s="82" t="s">
        <v>41</v>
      </c>
      <c r="B41" s="82">
        <v>1.6392296932256441E-3</v>
      </c>
      <c r="C41" s="82">
        <v>5.1134584064107232E-3</v>
      </c>
      <c r="D41" s="82">
        <v>2.4665504447701526E-3</v>
      </c>
      <c r="E41" s="82">
        <v>2.5983541490664304E-3</v>
      </c>
      <c r="F41" s="82">
        <v>2.1943767453499797E-3</v>
      </c>
      <c r="G41" s="82">
        <v>1.8091221813027777E-3</v>
      </c>
      <c r="H41" s="82">
        <v>4.0125102458969455E-3</v>
      </c>
      <c r="I41" s="82">
        <v>1.0012643629125238E-3</v>
      </c>
      <c r="J41" s="82">
        <v>1.9099167341703872E-3</v>
      </c>
      <c r="K41" s="82">
        <v>2.6437997661936815E-3</v>
      </c>
      <c r="L41" s="82">
        <v>4.8971217388863184E-3</v>
      </c>
      <c r="M41" s="82">
        <v>5.9609902370039748E-3</v>
      </c>
      <c r="N41" s="82">
        <v>3.4011872390903703E-3</v>
      </c>
      <c r="O41" s="82">
        <v>3.6247384364723806E-3</v>
      </c>
      <c r="P41" s="82">
        <v>4.0764459904781385E-3</v>
      </c>
      <c r="Q41" s="82">
        <v>1.1197088418052207E-3</v>
      </c>
      <c r="R41" s="82">
        <v>3.7580051197849611E-3</v>
      </c>
      <c r="S41" s="82">
        <v>2.5866241479872319E-3</v>
      </c>
      <c r="T41" s="82">
        <v>3.888722719945439E-3</v>
      </c>
      <c r="U41" s="82">
        <v>4.0197411354034145E-3</v>
      </c>
      <c r="V41" s="82">
        <v>2.2901395955351551E-3</v>
      </c>
      <c r="W41" s="82">
        <v>4.3049950970526487E-3</v>
      </c>
      <c r="X41" s="82">
        <v>2.8825885681064436E-3</v>
      </c>
      <c r="Y41" s="82">
        <v>5.1648763366124823E-3</v>
      </c>
      <c r="Z41" s="82">
        <v>2.1889806307151022E-3</v>
      </c>
      <c r="AA41" s="82">
        <v>3.834315808096954E-3</v>
      </c>
      <c r="AB41" s="82">
        <v>4.4321753485306262E-3</v>
      </c>
      <c r="AC41" s="82">
        <v>5.3381740835602874E-3</v>
      </c>
      <c r="AD41" s="82">
        <v>2.7158357364897951E-3</v>
      </c>
      <c r="AE41" s="82">
        <v>2.3912658820481117E-3</v>
      </c>
      <c r="AF41" s="82">
        <v>1.2360674362414347E-3</v>
      </c>
      <c r="AG41" s="82">
        <v>1.9932916430335456E-3</v>
      </c>
      <c r="AH41" s="82">
        <v>2.5121772499926125E-3</v>
      </c>
      <c r="AI41" s="82">
        <v>1.8132453006550419E-3</v>
      </c>
      <c r="AJ41" s="82">
        <v>2.74158454823637E-3</v>
      </c>
      <c r="AK41" s="82">
        <v>7.7145977458650495E-3</v>
      </c>
      <c r="AL41" s="82">
        <v>5.341018165464958E-3</v>
      </c>
      <c r="AM41" s="82">
        <v>4.2271930270908397E-3</v>
      </c>
      <c r="AN41" s="82">
        <v>3.0468503968687274E-3</v>
      </c>
      <c r="AO41" s="82">
        <f>VARP(Data!$AP$112:$AP$160)</f>
        <v>6.0046484155834162E-3</v>
      </c>
      <c r="AP41" s="82"/>
      <c r="AQ41" s="82"/>
      <c r="AR41" s="82"/>
      <c r="AS41" s="82"/>
    </row>
    <row r="42" spans="1:45">
      <c r="A42" s="82" t="s">
        <v>42</v>
      </c>
      <c r="B42" s="82">
        <v>5.2306677510227193E-3</v>
      </c>
      <c r="C42" s="82">
        <v>1.5916124735132327E-2</v>
      </c>
      <c r="D42" s="82">
        <v>1.1269030590949096E-2</v>
      </c>
      <c r="E42" s="82">
        <v>1.0496953489052368E-2</v>
      </c>
      <c r="F42" s="82">
        <v>7.3531640467314708E-3</v>
      </c>
      <c r="G42" s="82">
        <v>1.2216618864151346E-2</v>
      </c>
      <c r="H42" s="82">
        <v>1.6846645623818855E-2</v>
      </c>
      <c r="I42" s="82">
        <v>8.5663515056979243E-3</v>
      </c>
      <c r="J42" s="82">
        <v>5.2119110624924657E-3</v>
      </c>
      <c r="K42" s="82">
        <v>6.2620183189489847E-3</v>
      </c>
      <c r="L42" s="82">
        <v>1.370604964766757E-2</v>
      </c>
      <c r="M42" s="82">
        <v>1.7200014791848028E-2</v>
      </c>
      <c r="N42" s="82">
        <v>8.197573432160675E-3</v>
      </c>
      <c r="O42" s="82">
        <v>9.3935526433537395E-3</v>
      </c>
      <c r="P42" s="82">
        <v>1.006843997268507E-2</v>
      </c>
      <c r="Q42" s="82">
        <v>1.8947036573379481E-3</v>
      </c>
      <c r="R42" s="82">
        <v>8.3054035275779512E-3</v>
      </c>
      <c r="S42" s="82">
        <v>7.9207162957393475E-3</v>
      </c>
      <c r="T42" s="82">
        <v>1.2765366723669102E-2</v>
      </c>
      <c r="U42" s="82">
        <v>1.2350636934155015E-2</v>
      </c>
      <c r="V42" s="82">
        <v>7.215132547216405E-3</v>
      </c>
      <c r="W42" s="82">
        <v>1.1042769982658058E-2</v>
      </c>
      <c r="X42" s="82">
        <v>1.242285959273815E-2</v>
      </c>
      <c r="Y42" s="82">
        <v>1.8755824834960477E-2</v>
      </c>
      <c r="Z42" s="82">
        <v>1.0072643927806978E-2</v>
      </c>
      <c r="AA42" s="82">
        <v>1.0801439250995986E-2</v>
      </c>
      <c r="AB42" s="82">
        <v>1.3831702503063176E-2</v>
      </c>
      <c r="AC42" s="82">
        <v>1.5441978149933326E-2</v>
      </c>
      <c r="AD42" s="82">
        <v>1.1042049899684528E-2</v>
      </c>
      <c r="AE42" s="82">
        <v>9.8067292770118858E-3</v>
      </c>
      <c r="AF42" s="82">
        <v>4.3642651902933913E-3</v>
      </c>
      <c r="AG42" s="82">
        <v>7.6125981520622716E-3</v>
      </c>
      <c r="AH42" s="82">
        <v>9.1011979823037142E-3</v>
      </c>
      <c r="AI42" s="82">
        <v>8.7460338883879399E-3</v>
      </c>
      <c r="AJ42" s="82">
        <v>9.1724056192750841E-3</v>
      </c>
      <c r="AK42" s="82">
        <v>2.0814863006580753E-2</v>
      </c>
      <c r="AL42" s="82">
        <v>1.4838673723857516E-2</v>
      </c>
      <c r="AM42" s="82">
        <v>1.6362280462815942E-2</v>
      </c>
      <c r="AN42" s="82">
        <v>1.1106142120093981E-2</v>
      </c>
      <c r="AO42" s="82">
        <v>5.0705855294485196E-3</v>
      </c>
      <c r="AP42" s="82">
        <f>VARP(Data!$AQ$112:$AQ$160)</f>
        <v>2.2213830834228697E-2</v>
      </c>
      <c r="AQ42" s="82"/>
      <c r="AR42" s="82"/>
      <c r="AS42" s="82"/>
    </row>
    <row r="43" spans="1:45">
      <c r="A43" s="82" t="s">
        <v>43</v>
      </c>
      <c r="B43" s="82">
        <v>3.8196242147571875E-3</v>
      </c>
      <c r="C43" s="82">
        <v>2.141047587288706E-2</v>
      </c>
      <c r="D43" s="82">
        <v>1.1978812235463604E-2</v>
      </c>
      <c r="E43" s="82">
        <v>1.2718080205329619E-2</v>
      </c>
      <c r="F43" s="82">
        <v>9.3415304684048225E-3</v>
      </c>
      <c r="G43" s="82">
        <v>1.445558746538159E-2</v>
      </c>
      <c r="H43" s="82">
        <v>2.0525544948508591E-2</v>
      </c>
      <c r="I43" s="82">
        <v>8.1187353275977946E-3</v>
      </c>
      <c r="J43" s="82">
        <v>5.9376310030505412E-3</v>
      </c>
      <c r="K43" s="82">
        <v>8.656930545686517E-3</v>
      </c>
      <c r="L43" s="82">
        <v>1.8931019594825724E-2</v>
      </c>
      <c r="M43" s="82">
        <v>2.276565132439572E-2</v>
      </c>
      <c r="N43" s="82">
        <v>1.106812874546555E-2</v>
      </c>
      <c r="O43" s="82">
        <v>1.1155276250647932E-2</v>
      </c>
      <c r="P43" s="82">
        <v>1.0300548767916497E-2</v>
      </c>
      <c r="Q43" s="82">
        <v>3.9145658459135528E-3</v>
      </c>
      <c r="R43" s="82">
        <v>1.1650538157468806E-2</v>
      </c>
      <c r="S43" s="82">
        <v>1.2439581962831948E-2</v>
      </c>
      <c r="T43" s="82">
        <v>1.8342910454954026E-2</v>
      </c>
      <c r="U43" s="82">
        <v>1.7573608824325408E-2</v>
      </c>
      <c r="V43" s="82">
        <v>7.4836326539268784E-3</v>
      </c>
      <c r="W43" s="82">
        <v>1.514573519766689E-2</v>
      </c>
      <c r="X43" s="82">
        <v>1.4376276463969283E-2</v>
      </c>
      <c r="Y43" s="82">
        <v>2.1989172496467781E-2</v>
      </c>
      <c r="Z43" s="82">
        <v>1.3929589926899891E-2</v>
      </c>
      <c r="AA43" s="82">
        <v>1.4881315760319971E-2</v>
      </c>
      <c r="AB43" s="82">
        <v>1.9625058576246798E-2</v>
      </c>
      <c r="AC43" s="82">
        <v>1.9556981230691023E-2</v>
      </c>
      <c r="AD43" s="82">
        <v>1.4546099176996917E-2</v>
      </c>
      <c r="AE43" s="82">
        <v>1.3351432075224063E-2</v>
      </c>
      <c r="AF43" s="82">
        <v>7.3830893297037398E-3</v>
      </c>
      <c r="AG43" s="82">
        <v>1.0235874655116464E-2</v>
      </c>
      <c r="AH43" s="82">
        <v>1.230039705401851E-2</v>
      </c>
      <c r="AI43" s="82">
        <v>9.3528632130240701E-3</v>
      </c>
      <c r="AJ43" s="82">
        <v>1.0698241898825267E-2</v>
      </c>
      <c r="AK43" s="82">
        <v>2.9313590346069594E-2</v>
      </c>
      <c r="AL43" s="82">
        <v>1.5522512022944999E-2</v>
      </c>
      <c r="AM43" s="82">
        <v>2.0515589261354317E-2</v>
      </c>
      <c r="AN43" s="82">
        <v>1.5553895449331787E-2</v>
      </c>
      <c r="AO43" s="82">
        <v>5.5703980454195161E-3</v>
      </c>
      <c r="AP43" s="82">
        <v>1.8864665982598103E-2</v>
      </c>
      <c r="AQ43" s="82">
        <f>VARP(Data!$AR$112:$AR$160)</f>
        <v>2.9092187998190487E-2</v>
      </c>
      <c r="AR43" s="82"/>
      <c r="AS43" s="82"/>
    </row>
    <row r="44" spans="1:45">
      <c r="A44" s="82" t="s">
        <v>44</v>
      </c>
      <c r="B44" s="82">
        <v>4.048091233184713E-3</v>
      </c>
      <c r="C44" s="82">
        <v>1.8674246622968495E-2</v>
      </c>
      <c r="D44" s="82">
        <v>1.1649515810410087E-2</v>
      </c>
      <c r="E44" s="82">
        <v>1.0204411274629364E-2</v>
      </c>
      <c r="F44" s="82">
        <v>7.9534876863513477E-3</v>
      </c>
      <c r="G44" s="82">
        <v>1.2565100822637714E-2</v>
      </c>
      <c r="H44" s="82">
        <v>1.6784359218308377E-2</v>
      </c>
      <c r="I44" s="82">
        <v>7.6095312623517403E-3</v>
      </c>
      <c r="J44" s="82">
        <v>4.3739207669695E-3</v>
      </c>
      <c r="K44" s="82">
        <v>7.6010823773296167E-3</v>
      </c>
      <c r="L44" s="82">
        <v>1.7566427668200737E-2</v>
      </c>
      <c r="M44" s="82">
        <v>1.9518478881762245E-2</v>
      </c>
      <c r="N44" s="82">
        <v>1.0598183754797277E-2</v>
      </c>
      <c r="O44" s="82">
        <v>9.5798255611314002E-3</v>
      </c>
      <c r="P44" s="82">
        <v>1.3104167581392464E-2</v>
      </c>
      <c r="Q44" s="82">
        <v>4.0750213029098394E-3</v>
      </c>
      <c r="R44" s="82">
        <v>9.9549825718588669E-3</v>
      </c>
      <c r="S44" s="82">
        <v>1.1050758500589954E-2</v>
      </c>
      <c r="T44" s="82">
        <v>1.7699249952672615E-2</v>
      </c>
      <c r="U44" s="82">
        <v>1.5072202727331169E-2</v>
      </c>
      <c r="V44" s="82">
        <v>8.6814577226001291E-3</v>
      </c>
      <c r="W44" s="82">
        <v>1.2232538576685124E-2</v>
      </c>
      <c r="X44" s="82">
        <v>1.2905570712278247E-2</v>
      </c>
      <c r="Y44" s="82">
        <v>1.9668751468038686E-2</v>
      </c>
      <c r="Z44" s="82">
        <v>1.1647795986536518E-2</v>
      </c>
      <c r="AA44" s="82">
        <v>1.421545806548671E-2</v>
      </c>
      <c r="AB44" s="82">
        <v>1.4312574120493931E-2</v>
      </c>
      <c r="AC44" s="82">
        <v>1.8300315768660286E-2</v>
      </c>
      <c r="AD44" s="82">
        <v>1.2429893967198893E-2</v>
      </c>
      <c r="AE44" s="82">
        <v>1.1364339344339225E-2</v>
      </c>
      <c r="AF44" s="82">
        <v>4.5319811704036417E-3</v>
      </c>
      <c r="AG44" s="82">
        <v>9.2084311618157704E-3</v>
      </c>
      <c r="AH44" s="82">
        <v>1.0480526952657518E-2</v>
      </c>
      <c r="AI44" s="82">
        <v>9.3040704260986644E-3</v>
      </c>
      <c r="AJ44" s="82">
        <v>7.9594712648700158E-3</v>
      </c>
      <c r="AK44" s="82">
        <v>2.3645972426271492E-2</v>
      </c>
      <c r="AL44" s="82">
        <v>1.8814927597652652E-2</v>
      </c>
      <c r="AM44" s="82">
        <v>1.7733273202521362E-2</v>
      </c>
      <c r="AN44" s="82">
        <v>1.1946327712180443E-2</v>
      </c>
      <c r="AO44" s="82">
        <v>6.2523001009886902E-3</v>
      </c>
      <c r="AP44" s="82">
        <v>1.5833113279390954E-2</v>
      </c>
      <c r="AQ44" s="82">
        <v>2.0028357615930886E-2</v>
      </c>
      <c r="AR44" s="82">
        <f>VARP(Data!$AS$112:$AS$160)</f>
        <v>2.4894909370816828E-2</v>
      </c>
      <c r="AS44" s="82"/>
    </row>
    <row r="45" spans="1:45" ht="15.75" thickBot="1">
      <c r="A45" s="83" t="s">
        <v>45</v>
      </c>
      <c r="B45" s="83">
        <v>2.8651703980590902E-3</v>
      </c>
      <c r="C45" s="83">
        <v>1.1904400607397182E-2</v>
      </c>
      <c r="D45" s="83">
        <v>7.9842900283091812E-3</v>
      </c>
      <c r="E45" s="83">
        <v>7.2134036078011022E-3</v>
      </c>
      <c r="F45" s="83">
        <v>5.2214206492839617E-3</v>
      </c>
      <c r="G45" s="83">
        <v>8.9902996299752718E-3</v>
      </c>
      <c r="H45" s="83">
        <v>1.1516523332359002E-2</v>
      </c>
      <c r="I45" s="83">
        <v>5.2323479567835153E-3</v>
      </c>
      <c r="J45" s="83">
        <v>4.7907949046668624E-3</v>
      </c>
      <c r="K45" s="83">
        <v>4.9214503565274985E-3</v>
      </c>
      <c r="L45" s="83">
        <v>1.0468412947495093E-2</v>
      </c>
      <c r="M45" s="83">
        <v>1.177547136010831E-2</v>
      </c>
      <c r="N45" s="83">
        <v>6.1861497282550207E-3</v>
      </c>
      <c r="O45" s="83">
        <v>5.9098279850616116E-3</v>
      </c>
      <c r="P45" s="83">
        <v>6.9343241698758091E-3</v>
      </c>
      <c r="Q45" s="83">
        <v>2.3602017840878252E-3</v>
      </c>
      <c r="R45" s="83">
        <v>6.6557271861898406E-3</v>
      </c>
      <c r="S45" s="83">
        <v>7.0898160662224473E-3</v>
      </c>
      <c r="T45" s="83">
        <v>1.1212405012433087E-2</v>
      </c>
      <c r="U45" s="83">
        <v>1.0838556411446319E-2</v>
      </c>
      <c r="V45" s="83">
        <v>6.0608912234755632E-3</v>
      </c>
      <c r="W45" s="83">
        <v>8.0718549751929766E-3</v>
      </c>
      <c r="X45" s="83">
        <v>9.5313436675657157E-3</v>
      </c>
      <c r="Y45" s="83">
        <v>1.2631481490140551E-2</v>
      </c>
      <c r="Z45" s="83">
        <v>7.6374262153917002E-3</v>
      </c>
      <c r="AA45" s="83">
        <v>8.7807853341572654E-3</v>
      </c>
      <c r="AB45" s="83">
        <v>9.6299196008585407E-3</v>
      </c>
      <c r="AC45" s="83">
        <v>1.0290325955095818E-2</v>
      </c>
      <c r="AD45" s="83">
        <v>8.7321822259526956E-3</v>
      </c>
      <c r="AE45" s="83">
        <v>8.3778372565795362E-3</v>
      </c>
      <c r="AF45" s="83">
        <v>3.1373414347981958E-3</v>
      </c>
      <c r="AG45" s="83">
        <v>6.9810096040074342E-3</v>
      </c>
      <c r="AH45" s="83">
        <v>6.8669050091194799E-3</v>
      </c>
      <c r="AI45" s="83">
        <v>6.7038467609679938E-3</v>
      </c>
      <c r="AJ45" s="83">
        <v>5.8083309371511306E-3</v>
      </c>
      <c r="AK45" s="83">
        <v>1.514551563744037E-2</v>
      </c>
      <c r="AL45" s="83">
        <v>1.0415465247533081E-2</v>
      </c>
      <c r="AM45" s="83">
        <v>1.2668250022069333E-2</v>
      </c>
      <c r="AN45" s="83">
        <v>8.0306739574827306E-3</v>
      </c>
      <c r="AO45" s="83">
        <v>2.991967526493753E-3</v>
      </c>
      <c r="AP45" s="83">
        <v>1.0534247310953105E-2</v>
      </c>
      <c r="AQ45" s="83">
        <v>1.2952379247335034E-2</v>
      </c>
      <c r="AR45" s="83">
        <v>1.1730941310450289E-2</v>
      </c>
      <c r="AS45" s="83">
        <f>VARP(Data!$AT$112:$AT$160)</f>
        <v>7.9997470823533028E-3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S45"/>
  <sheetViews>
    <sheetView zoomScale="55" zoomScaleNormal="55" workbookViewId="0">
      <selection activeCell="E2" sqref="E2"/>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v>1</v>
      </c>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row>
    <row r="3" spans="1:45">
      <c r="A3" s="82" t="s">
        <v>3</v>
      </c>
      <c r="B3" s="82">
        <v>0.55805486966904705</v>
      </c>
      <c r="C3" s="82">
        <v>1</v>
      </c>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row>
    <row r="4" spans="1:45">
      <c r="A4" s="82" t="s">
        <v>4</v>
      </c>
      <c r="B4" s="82">
        <v>0.54404146568540557</v>
      </c>
      <c r="C4" s="82">
        <v>0.7569385421577528</v>
      </c>
      <c r="D4" s="82">
        <v>1</v>
      </c>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row>
    <row r="5" spans="1:45">
      <c r="A5" s="82" t="s">
        <v>5</v>
      </c>
      <c r="B5" s="82">
        <v>0.32406333643047869</v>
      </c>
      <c r="C5" s="82">
        <v>0.68002579989839718</v>
      </c>
      <c r="D5" s="82">
        <v>0.64647356689510616</v>
      </c>
      <c r="E5" s="82">
        <v>1</v>
      </c>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row>
    <row r="6" spans="1:45">
      <c r="A6" s="82" t="s">
        <v>6</v>
      </c>
      <c r="B6" s="82">
        <v>0.42647408190328834</v>
      </c>
      <c r="C6" s="82">
        <v>0.73433033198213193</v>
      </c>
      <c r="D6" s="82">
        <v>0.61487908913503131</v>
      </c>
      <c r="E6" s="82">
        <v>0.60851186344033592</v>
      </c>
      <c r="F6" s="82">
        <v>1</v>
      </c>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row>
    <row r="7" spans="1:45">
      <c r="A7" s="82" t="s">
        <v>7</v>
      </c>
      <c r="B7" s="82">
        <v>0.40258957252687144</v>
      </c>
      <c r="C7" s="82">
        <v>0.7609015831983158</v>
      </c>
      <c r="D7" s="82">
        <v>0.8447742875254074</v>
      </c>
      <c r="E7" s="82">
        <v>0.70446918078640797</v>
      </c>
      <c r="F7" s="82">
        <v>0.61409843329197733</v>
      </c>
      <c r="G7" s="82">
        <v>1</v>
      </c>
      <c r="H7" s="82"/>
      <c r="I7" s="82"/>
      <c r="J7" s="8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row>
    <row r="8" spans="1:45">
      <c r="A8" s="82" t="s">
        <v>8</v>
      </c>
      <c r="B8" s="82">
        <v>0.27890445669855934</v>
      </c>
      <c r="C8" s="82">
        <v>0.72086227520547053</v>
      </c>
      <c r="D8" s="82">
        <v>0.74065747015283256</v>
      </c>
      <c r="E8" s="82">
        <v>0.6113275003454155</v>
      </c>
      <c r="F8" s="82">
        <v>0.63567036046699243</v>
      </c>
      <c r="G8" s="82">
        <v>0.70174029169148489</v>
      </c>
      <c r="H8" s="82">
        <v>1</v>
      </c>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row>
    <row r="9" spans="1:45">
      <c r="A9" s="82" t="s">
        <v>9</v>
      </c>
      <c r="B9" s="82">
        <v>0.39273370405505365</v>
      </c>
      <c r="C9" s="82">
        <v>0.52728118109197508</v>
      </c>
      <c r="D9" s="82">
        <v>0.53741768426032022</v>
      </c>
      <c r="E9" s="82">
        <v>0.42499792526290203</v>
      </c>
      <c r="F9" s="82">
        <v>0.44927703772163669</v>
      </c>
      <c r="G9" s="82">
        <v>0.50183567795343587</v>
      </c>
      <c r="H9" s="82">
        <v>0.31020107552365139</v>
      </c>
      <c r="I9" s="82">
        <v>1</v>
      </c>
      <c r="J9" s="82"/>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row>
    <row r="10" spans="1:45">
      <c r="A10" s="82" t="s">
        <v>10</v>
      </c>
      <c r="B10" s="82">
        <v>0.27019739674946902</v>
      </c>
      <c r="C10" s="82">
        <v>0.41288966772843938</v>
      </c>
      <c r="D10" s="82">
        <v>0.51918169485115373</v>
      </c>
      <c r="E10" s="82">
        <v>0.51544579172627181</v>
      </c>
      <c r="F10" s="82">
        <v>0.31860450842896465</v>
      </c>
      <c r="G10" s="82">
        <v>0.44932268676606985</v>
      </c>
      <c r="H10" s="82">
        <v>0.3088334876415571</v>
      </c>
      <c r="I10" s="82">
        <v>0.30051823848558912</v>
      </c>
      <c r="J10" s="82">
        <v>1</v>
      </c>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row>
    <row r="11" spans="1:45">
      <c r="A11" s="82" t="s">
        <v>11</v>
      </c>
      <c r="B11" s="82">
        <v>0.20255805000741378</v>
      </c>
      <c r="C11" s="82">
        <v>0.51889650546444543</v>
      </c>
      <c r="D11" s="82">
        <v>0.45113148696891642</v>
      </c>
      <c r="E11" s="82">
        <v>0.72684350980432888</v>
      </c>
      <c r="F11" s="82">
        <v>0.4457643727889104</v>
      </c>
      <c r="G11" s="82">
        <v>0.48207377936720347</v>
      </c>
      <c r="H11" s="82">
        <v>0.37843668914522188</v>
      </c>
      <c r="I11" s="82">
        <v>0.32720710493325872</v>
      </c>
      <c r="J11" s="82">
        <v>0.27881193261763332</v>
      </c>
      <c r="K11" s="82">
        <v>1</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0.17949136925754772</v>
      </c>
      <c r="C12" s="82">
        <v>0.72109660737492565</v>
      </c>
      <c r="D12" s="82">
        <v>0.57267766973263545</v>
      </c>
      <c r="E12" s="82">
        <v>0.74561559991268789</v>
      </c>
      <c r="F12" s="82">
        <v>0.5280215928812001</v>
      </c>
      <c r="G12" s="82">
        <v>0.67365061670692394</v>
      </c>
      <c r="H12" s="82">
        <v>0.66178049649606152</v>
      </c>
      <c r="I12" s="82">
        <v>0.31775990425668782</v>
      </c>
      <c r="J12" s="82">
        <v>0.37809616053970774</v>
      </c>
      <c r="K12" s="82">
        <v>0.63819173533129447</v>
      </c>
      <c r="L12" s="82">
        <v>1</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0.48993023088168935</v>
      </c>
      <c r="C13" s="82">
        <v>0.86360131574249577</v>
      </c>
      <c r="D13" s="82">
        <v>0.70638929273888973</v>
      </c>
      <c r="E13" s="82">
        <v>0.67275246125442323</v>
      </c>
      <c r="F13" s="82">
        <v>0.77896127279920513</v>
      </c>
      <c r="G13" s="82">
        <v>0.61329889074967991</v>
      </c>
      <c r="H13" s="82">
        <v>0.7285975523038779</v>
      </c>
      <c r="I13" s="82">
        <v>0.44293912711629985</v>
      </c>
      <c r="J13" s="82">
        <v>0.45705800866069962</v>
      </c>
      <c r="K13" s="82">
        <v>0.4708677811393428</v>
      </c>
      <c r="L13" s="82">
        <v>0.64963501693691794</v>
      </c>
      <c r="M13" s="82">
        <v>1</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0.24423760961678423</v>
      </c>
      <c r="C14" s="82">
        <v>0.57622991650459454</v>
      </c>
      <c r="D14" s="82">
        <v>0.55678568405377848</v>
      </c>
      <c r="E14" s="82">
        <v>0.39218070017032053</v>
      </c>
      <c r="F14" s="82">
        <v>0.32048050078911761</v>
      </c>
      <c r="G14" s="82">
        <v>0.4943025960673269</v>
      </c>
      <c r="H14" s="82">
        <v>0.52545240427966866</v>
      </c>
      <c r="I14" s="82">
        <v>0.31904913811183183</v>
      </c>
      <c r="J14" s="82">
        <v>0.42515631699885836</v>
      </c>
      <c r="K14" s="82">
        <v>0.36710479211796226</v>
      </c>
      <c r="L14" s="82">
        <v>0.47652833159332936</v>
      </c>
      <c r="M14" s="82">
        <v>0.55154573068529644</v>
      </c>
      <c r="N14" s="82">
        <v>1</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0.34197435298510082</v>
      </c>
      <c r="C15" s="82">
        <v>0.61705438934924162</v>
      </c>
      <c r="D15" s="82">
        <v>0.53271279894181456</v>
      </c>
      <c r="E15" s="82">
        <v>0.38036065160292348</v>
      </c>
      <c r="F15" s="82">
        <v>0.50955099400171422</v>
      </c>
      <c r="G15" s="82">
        <v>0.47484289711860678</v>
      </c>
      <c r="H15" s="82">
        <v>0.61555538780249863</v>
      </c>
      <c r="I15" s="82">
        <v>0.37427001326915538</v>
      </c>
      <c r="J15" s="82">
        <v>0.33374427954511582</v>
      </c>
      <c r="K15" s="82">
        <v>0.18678494908424001</v>
      </c>
      <c r="L15" s="82">
        <v>0.3474032986219916</v>
      </c>
      <c r="M15" s="82">
        <v>0.73242739321130113</v>
      </c>
      <c r="N15" s="82">
        <v>0.55809908056364621</v>
      </c>
      <c r="O15" s="82">
        <v>1</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0.24534440736627222</v>
      </c>
      <c r="C16" s="82">
        <v>0.58595379007307069</v>
      </c>
      <c r="D16" s="82">
        <v>0.4247289363098779</v>
      </c>
      <c r="E16" s="82">
        <v>0.50697784894192277</v>
      </c>
      <c r="F16" s="82">
        <v>0.54157814912073665</v>
      </c>
      <c r="G16" s="82">
        <v>0.51896563860732459</v>
      </c>
      <c r="H16" s="82">
        <v>0.55639849863380775</v>
      </c>
      <c r="I16" s="82">
        <v>0.25151716225452719</v>
      </c>
      <c r="J16" s="82">
        <v>0.23579351048362898</v>
      </c>
      <c r="K16" s="82">
        <v>0.53356586728845246</v>
      </c>
      <c r="L16" s="82">
        <v>0.64962985883244018</v>
      </c>
      <c r="M16" s="82">
        <v>0.58506103369358675</v>
      </c>
      <c r="N16" s="82">
        <v>0.38836663407133393</v>
      </c>
      <c r="O16" s="82">
        <v>0.37613574660316501</v>
      </c>
      <c r="P16" s="82">
        <v>1</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3.2767320325993159E-2</v>
      </c>
      <c r="C17" s="82">
        <v>0.40012003633566628</v>
      </c>
      <c r="D17" s="82">
        <v>0.36947549412588854</v>
      </c>
      <c r="E17" s="82">
        <v>0.4957311264537767</v>
      </c>
      <c r="F17" s="82">
        <v>0.56844270653903439</v>
      </c>
      <c r="G17" s="82">
        <v>0.37991545001148197</v>
      </c>
      <c r="H17" s="82">
        <v>0.29961680546398173</v>
      </c>
      <c r="I17" s="82">
        <v>0.28369030657067978</v>
      </c>
      <c r="J17" s="82">
        <v>0.40950965531821976</v>
      </c>
      <c r="K17" s="82">
        <v>0.38654577719155148</v>
      </c>
      <c r="L17" s="82">
        <v>0.35855315335223698</v>
      </c>
      <c r="M17" s="82">
        <v>0.4919850829656981</v>
      </c>
      <c r="N17" s="82">
        <v>0.29798429722115127</v>
      </c>
      <c r="O17" s="82">
        <v>0.34304366270322767</v>
      </c>
      <c r="P17" s="82">
        <v>0.40647797372938793</v>
      </c>
      <c r="Q17" s="82">
        <v>1</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0.34057436514391742</v>
      </c>
      <c r="C18" s="82">
        <v>0.73430623927921357</v>
      </c>
      <c r="D18" s="82">
        <v>0.63858247551404168</v>
      </c>
      <c r="E18" s="82">
        <v>0.56912750270475043</v>
      </c>
      <c r="F18" s="82">
        <v>0.53065939821482389</v>
      </c>
      <c r="G18" s="82">
        <v>0.62981723952923019</v>
      </c>
      <c r="H18" s="82">
        <v>0.66808884166208615</v>
      </c>
      <c r="I18" s="82">
        <v>0.36827657117146889</v>
      </c>
      <c r="J18" s="82">
        <v>0.40994648044673204</v>
      </c>
      <c r="K18" s="82">
        <v>0.49215416770563764</v>
      </c>
      <c r="L18" s="82">
        <v>0.59997192191714555</v>
      </c>
      <c r="M18" s="82">
        <v>0.76538119256558479</v>
      </c>
      <c r="N18" s="82">
        <v>0.60296583678480931</v>
      </c>
      <c r="O18" s="82">
        <v>0.68902371213336699</v>
      </c>
      <c r="P18" s="82">
        <v>0.47490536660428595</v>
      </c>
      <c r="Q18" s="82">
        <v>0.43770502010210749</v>
      </c>
      <c r="R18" s="82">
        <v>1</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0.17403279313930947</v>
      </c>
      <c r="C19" s="82">
        <v>0.66176624787213434</v>
      </c>
      <c r="D19" s="82">
        <v>0.59366341257851307</v>
      </c>
      <c r="E19" s="82">
        <v>0.60291401941447742</v>
      </c>
      <c r="F19" s="82">
        <v>0.5894669740430567</v>
      </c>
      <c r="G19" s="82">
        <v>0.65444074707596789</v>
      </c>
      <c r="H19" s="82">
        <v>0.62172751309394081</v>
      </c>
      <c r="I19" s="82">
        <v>0.23088258128684808</v>
      </c>
      <c r="J19" s="82">
        <v>0.49808303494776385</v>
      </c>
      <c r="K19" s="82">
        <v>0.57676157680206841</v>
      </c>
      <c r="L19" s="82">
        <v>0.72208726272446933</v>
      </c>
      <c r="M19" s="82">
        <v>0.63162035403709571</v>
      </c>
      <c r="N19" s="82">
        <v>0.58903521787261048</v>
      </c>
      <c r="O19" s="82">
        <v>0.41206933694661824</v>
      </c>
      <c r="P19" s="82">
        <v>0.69625770528682285</v>
      </c>
      <c r="Q19" s="82">
        <v>0.58391093355310286</v>
      </c>
      <c r="R19" s="82">
        <v>0.57626900431425765</v>
      </c>
      <c r="S19" s="82">
        <v>1</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0.17224661389690041</v>
      </c>
      <c r="C20" s="82">
        <v>0.70993943055216335</v>
      </c>
      <c r="D20" s="82">
        <v>0.58734292684251166</v>
      </c>
      <c r="E20" s="82">
        <v>0.6491255766869144</v>
      </c>
      <c r="F20" s="82">
        <v>0.53279133734873918</v>
      </c>
      <c r="G20" s="82">
        <v>0.6469234048929613</v>
      </c>
      <c r="H20" s="82">
        <v>0.68887248211785523</v>
      </c>
      <c r="I20" s="82">
        <v>0.33805779470406111</v>
      </c>
      <c r="J20" s="82">
        <v>0.40888222791130058</v>
      </c>
      <c r="K20" s="82">
        <v>0.60209642031107535</v>
      </c>
      <c r="L20" s="82">
        <v>0.77741406228691612</v>
      </c>
      <c r="M20" s="82">
        <v>0.62716667116061464</v>
      </c>
      <c r="N20" s="82">
        <v>0.49932982713817159</v>
      </c>
      <c r="O20" s="82">
        <v>0.3764946979619902</v>
      </c>
      <c r="P20" s="82">
        <v>0.68675280006463491</v>
      </c>
      <c r="Q20" s="82">
        <v>0.35646885046464971</v>
      </c>
      <c r="R20" s="82">
        <v>0.61882701140594232</v>
      </c>
      <c r="S20" s="82">
        <v>0.7115257362172166</v>
      </c>
      <c r="T20" s="82">
        <v>1</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0.2433840638129588</v>
      </c>
      <c r="C21" s="82">
        <v>0.65801677391561353</v>
      </c>
      <c r="D21" s="82">
        <v>0.6005420245848242</v>
      </c>
      <c r="E21" s="82">
        <v>0.62473735750283288</v>
      </c>
      <c r="F21" s="82">
        <v>0.43245976042671352</v>
      </c>
      <c r="G21" s="82">
        <v>0.57108292504360081</v>
      </c>
      <c r="H21" s="82">
        <v>0.57957212226862453</v>
      </c>
      <c r="I21" s="82">
        <v>0.4637707000410366</v>
      </c>
      <c r="J21" s="82">
        <v>0.51537001395196669</v>
      </c>
      <c r="K21" s="82">
        <v>0.55469919216240327</v>
      </c>
      <c r="L21" s="82">
        <v>0.65195475652844392</v>
      </c>
      <c r="M21" s="82">
        <v>0.65584326687621952</v>
      </c>
      <c r="N21" s="82">
        <v>0.54875636894235058</v>
      </c>
      <c r="O21" s="82">
        <v>0.47166083271701309</v>
      </c>
      <c r="P21" s="82">
        <v>0.45266909691688567</v>
      </c>
      <c r="Q21" s="82">
        <v>0.41106066800968732</v>
      </c>
      <c r="R21" s="82">
        <v>0.67350439871683554</v>
      </c>
      <c r="S21" s="82">
        <v>0.63006918160390202</v>
      </c>
      <c r="T21" s="82">
        <v>0.68659927205073445</v>
      </c>
      <c r="U21" s="82">
        <v>1</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0.38989966115502661</v>
      </c>
      <c r="C22" s="82">
        <v>0.72963694159190051</v>
      </c>
      <c r="D22" s="82">
        <v>0.83458638738703816</v>
      </c>
      <c r="E22" s="82">
        <v>0.62664548985148971</v>
      </c>
      <c r="F22" s="82">
        <v>0.56153576830411844</v>
      </c>
      <c r="G22" s="82">
        <v>0.77332875717418048</v>
      </c>
      <c r="H22" s="82">
        <v>0.62461214894982908</v>
      </c>
      <c r="I22" s="82">
        <v>0.48865021692990129</v>
      </c>
      <c r="J22" s="82">
        <v>0.56028370808262495</v>
      </c>
      <c r="K22" s="82">
        <v>0.50840208421914701</v>
      </c>
      <c r="L22" s="82">
        <v>0.60691713980727391</v>
      </c>
      <c r="M22" s="82">
        <v>0.58891511745756586</v>
      </c>
      <c r="N22" s="82">
        <v>0.53741036086756544</v>
      </c>
      <c r="O22" s="82">
        <v>0.38916050804026608</v>
      </c>
      <c r="P22" s="82">
        <v>0.51779332011425072</v>
      </c>
      <c r="Q22" s="82">
        <v>0.45336599180131104</v>
      </c>
      <c r="R22" s="82">
        <v>0.6360429039585388</v>
      </c>
      <c r="S22" s="82">
        <v>0.59602706768821123</v>
      </c>
      <c r="T22" s="82">
        <v>0.68479779479189118</v>
      </c>
      <c r="U22" s="82">
        <v>0.65760268357016971</v>
      </c>
      <c r="V22" s="82">
        <v>1</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0.33597205741846337</v>
      </c>
      <c r="C23" s="82">
        <v>0.73185753700014988</v>
      </c>
      <c r="D23" s="82">
        <v>0.58475433866773407</v>
      </c>
      <c r="E23" s="82">
        <v>0.57971255071479721</v>
      </c>
      <c r="F23" s="82">
        <v>0.55779532486707462</v>
      </c>
      <c r="G23" s="82">
        <v>0.63357371356690606</v>
      </c>
      <c r="H23" s="82">
        <v>0.73240122144011899</v>
      </c>
      <c r="I23" s="82">
        <v>0.2323332123785859</v>
      </c>
      <c r="J23" s="82">
        <v>0.27861353366408448</v>
      </c>
      <c r="K23" s="82">
        <v>0.40804234401469686</v>
      </c>
      <c r="L23" s="82">
        <v>0.64222320241281194</v>
      </c>
      <c r="M23" s="82">
        <v>0.66672176330979549</v>
      </c>
      <c r="N23" s="82">
        <v>0.4675326084113593</v>
      </c>
      <c r="O23" s="82">
        <v>0.49039716925813992</v>
      </c>
      <c r="P23" s="82">
        <v>0.52710009813072045</v>
      </c>
      <c r="Q23" s="82">
        <v>0.37331867756621578</v>
      </c>
      <c r="R23" s="82">
        <v>0.67104464575536849</v>
      </c>
      <c r="S23" s="82">
        <v>0.62969062759984062</v>
      </c>
      <c r="T23" s="82">
        <v>0.66172128370480998</v>
      </c>
      <c r="U23" s="82">
        <v>0.52499538480044694</v>
      </c>
      <c r="V23" s="82">
        <v>0.50757833013632536</v>
      </c>
      <c r="W23" s="82">
        <v>1</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0.29126812807327107</v>
      </c>
      <c r="C24" s="82">
        <v>0.7275721176779506</v>
      </c>
      <c r="D24" s="82">
        <v>0.76407924485775003</v>
      </c>
      <c r="E24" s="82">
        <v>0.68719038769843122</v>
      </c>
      <c r="F24" s="82">
        <v>0.55677292391158062</v>
      </c>
      <c r="G24" s="82">
        <v>0.7631871161917112</v>
      </c>
      <c r="H24" s="82">
        <v>0.75092642618066519</v>
      </c>
      <c r="I24" s="82">
        <v>0.48009647786336579</v>
      </c>
      <c r="J24" s="82">
        <v>0.48865644657311669</v>
      </c>
      <c r="K24" s="82">
        <v>0.55284654205943318</v>
      </c>
      <c r="L24" s="82">
        <v>0.71263860490819941</v>
      </c>
      <c r="M24" s="82">
        <v>0.66455765042479398</v>
      </c>
      <c r="N24" s="82">
        <v>0.56166567002516976</v>
      </c>
      <c r="O24" s="82">
        <v>0.49009145484227085</v>
      </c>
      <c r="P24" s="82">
        <v>0.58915449437393508</v>
      </c>
      <c r="Q24" s="82">
        <v>0.4573691274011602</v>
      </c>
      <c r="R24" s="82">
        <v>0.67908784169662562</v>
      </c>
      <c r="S24" s="82">
        <v>0.73726070228233664</v>
      </c>
      <c r="T24" s="82">
        <v>0.75136906863538866</v>
      </c>
      <c r="U24" s="82">
        <v>0.75020710041167338</v>
      </c>
      <c r="V24" s="82">
        <v>0.83668405326041873</v>
      </c>
      <c r="W24" s="82">
        <v>0.59616643691050586</v>
      </c>
      <c r="X24" s="82">
        <v>1</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0.47609611282525383</v>
      </c>
      <c r="C25" s="82">
        <v>0.8846976223317996</v>
      </c>
      <c r="D25" s="82">
        <v>0.76000379847538901</v>
      </c>
      <c r="E25" s="82">
        <v>0.73931527365659566</v>
      </c>
      <c r="F25" s="82">
        <v>0.70078210109366901</v>
      </c>
      <c r="G25" s="82">
        <v>0.74559970068981218</v>
      </c>
      <c r="H25" s="82">
        <v>0.74764157493122096</v>
      </c>
      <c r="I25" s="82">
        <v>0.53704736411124021</v>
      </c>
      <c r="J25" s="82">
        <v>0.48787543391368249</v>
      </c>
      <c r="K25" s="82">
        <v>0.595909352350662</v>
      </c>
      <c r="L25" s="82">
        <v>0.77494260188634168</v>
      </c>
      <c r="M25" s="82">
        <v>0.84825223619391577</v>
      </c>
      <c r="N25" s="82">
        <v>0.55163836921421028</v>
      </c>
      <c r="O25" s="82">
        <v>0.65148459225795752</v>
      </c>
      <c r="P25" s="82">
        <v>0.57115865440034619</v>
      </c>
      <c r="Q25" s="82">
        <v>0.38264866573978962</v>
      </c>
      <c r="R25" s="82">
        <v>0.70875243254382014</v>
      </c>
      <c r="S25" s="82">
        <v>0.61460864302730334</v>
      </c>
      <c r="T25" s="82">
        <v>0.71234090336644407</v>
      </c>
      <c r="U25" s="82">
        <v>0.69113977851949238</v>
      </c>
      <c r="V25" s="82">
        <v>0.70294353949489441</v>
      </c>
      <c r="W25" s="82">
        <v>0.60231470861131531</v>
      </c>
      <c r="X25" s="82">
        <v>0.77340842879282878</v>
      </c>
      <c r="Y25" s="82">
        <v>1</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0.3241434359492622</v>
      </c>
      <c r="C26" s="82">
        <v>0.75198744737866274</v>
      </c>
      <c r="D26" s="82">
        <v>0.66420895933952129</v>
      </c>
      <c r="E26" s="82">
        <v>0.69619938345976617</v>
      </c>
      <c r="F26" s="82">
        <v>0.63171522177822126</v>
      </c>
      <c r="G26" s="82">
        <v>0.68162608925712365</v>
      </c>
      <c r="H26" s="82">
        <v>0.63255145673967905</v>
      </c>
      <c r="I26" s="82">
        <v>0.44185503292336259</v>
      </c>
      <c r="J26" s="82">
        <v>0.44641377182617714</v>
      </c>
      <c r="K26" s="82">
        <v>0.57891201002597248</v>
      </c>
      <c r="L26" s="82">
        <v>0.66839529212882631</v>
      </c>
      <c r="M26" s="82">
        <v>0.76531363368968119</v>
      </c>
      <c r="N26" s="82">
        <v>0.63618404035116738</v>
      </c>
      <c r="O26" s="82">
        <v>0.54567443851258557</v>
      </c>
      <c r="P26" s="82">
        <v>0.56263022385495631</v>
      </c>
      <c r="Q26" s="82">
        <v>0.51057310100438535</v>
      </c>
      <c r="R26" s="82">
        <v>0.56275278043945143</v>
      </c>
      <c r="S26" s="82">
        <v>0.73160333737181982</v>
      </c>
      <c r="T26" s="82">
        <v>0.68332171439098088</v>
      </c>
      <c r="U26" s="82">
        <v>0.7458221775631747</v>
      </c>
      <c r="V26" s="82">
        <v>0.6358761536852241</v>
      </c>
      <c r="W26" s="82">
        <v>0.57098588601356692</v>
      </c>
      <c r="X26" s="82">
        <v>0.77479160652189938</v>
      </c>
      <c r="Y26" s="82">
        <v>0.7793759141668839</v>
      </c>
      <c r="Z26" s="82">
        <v>1</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0.44767199669991792</v>
      </c>
      <c r="C27" s="82">
        <v>0.86197176740668868</v>
      </c>
      <c r="D27" s="82">
        <v>0.66053522594653291</v>
      </c>
      <c r="E27" s="82">
        <v>0.61955142158379872</v>
      </c>
      <c r="F27" s="82">
        <v>0.72792142082158651</v>
      </c>
      <c r="G27" s="82">
        <v>0.68640654516129174</v>
      </c>
      <c r="H27" s="82">
        <v>0.64219892471141493</v>
      </c>
      <c r="I27" s="82">
        <v>0.43423736680514385</v>
      </c>
      <c r="J27" s="82">
        <v>0.46011164697251866</v>
      </c>
      <c r="K27" s="82">
        <v>0.50028160973573033</v>
      </c>
      <c r="L27" s="82">
        <v>0.69072524777943045</v>
      </c>
      <c r="M27" s="82">
        <v>0.82284001791241157</v>
      </c>
      <c r="N27" s="82">
        <v>0.58928359473647429</v>
      </c>
      <c r="O27" s="82">
        <v>0.61140305128953487</v>
      </c>
      <c r="P27" s="82">
        <v>0.62355315610772466</v>
      </c>
      <c r="Q27" s="82">
        <v>0.43615388325834681</v>
      </c>
      <c r="R27" s="82">
        <v>0.6896230205924454</v>
      </c>
      <c r="S27" s="82">
        <v>0.66143984657170285</v>
      </c>
      <c r="T27" s="82">
        <v>0.69864567039182579</v>
      </c>
      <c r="U27" s="82">
        <v>0.73298101289881123</v>
      </c>
      <c r="V27" s="82">
        <v>0.67090761813015543</v>
      </c>
      <c r="W27" s="82">
        <v>0.65506724757344181</v>
      </c>
      <c r="X27" s="82">
        <v>0.67185478476547056</v>
      </c>
      <c r="Y27" s="82">
        <v>0.80917691055549645</v>
      </c>
      <c r="Z27" s="82">
        <v>0.78535083920198845</v>
      </c>
      <c r="AA27" s="82">
        <v>1</v>
      </c>
      <c r="AB27" s="82"/>
      <c r="AC27" s="82"/>
      <c r="AD27" s="82"/>
      <c r="AE27" s="82"/>
      <c r="AF27" s="82"/>
      <c r="AG27" s="82"/>
      <c r="AH27" s="82"/>
      <c r="AI27" s="82"/>
      <c r="AJ27" s="82"/>
      <c r="AK27" s="82"/>
      <c r="AL27" s="82"/>
      <c r="AM27" s="82"/>
      <c r="AN27" s="82"/>
      <c r="AO27" s="82"/>
      <c r="AP27" s="82"/>
      <c r="AQ27" s="82"/>
      <c r="AR27" s="82"/>
      <c r="AS27" s="82"/>
    </row>
    <row r="28" spans="1:45">
      <c r="A28" s="82" t="s">
        <v>28</v>
      </c>
      <c r="B28" s="82">
        <v>0.31706112898430999</v>
      </c>
      <c r="C28" s="82">
        <v>0.81099348889927703</v>
      </c>
      <c r="D28" s="82">
        <v>0.70915393431651064</v>
      </c>
      <c r="E28" s="82">
        <v>0.67513803403767736</v>
      </c>
      <c r="F28" s="82">
        <v>0.64852799111810833</v>
      </c>
      <c r="G28" s="82">
        <v>0.67149098976415145</v>
      </c>
      <c r="H28" s="82">
        <v>0.80695297067784222</v>
      </c>
      <c r="I28" s="82">
        <v>0.40308908992371795</v>
      </c>
      <c r="J28" s="82">
        <v>0.3608620170119195</v>
      </c>
      <c r="K28" s="82">
        <v>0.58146078563157888</v>
      </c>
      <c r="L28" s="82">
        <v>0.71037429728288737</v>
      </c>
      <c r="M28" s="82">
        <v>0.82043920290417516</v>
      </c>
      <c r="N28" s="82">
        <v>0.587842528396056</v>
      </c>
      <c r="O28" s="82">
        <v>0.62667011881867773</v>
      </c>
      <c r="P28" s="82">
        <v>0.59982927564127142</v>
      </c>
      <c r="Q28" s="82">
        <v>0.38457124859052605</v>
      </c>
      <c r="R28" s="82">
        <v>0.71750173656035221</v>
      </c>
      <c r="S28" s="82">
        <v>0.68914126508447937</v>
      </c>
      <c r="T28" s="82">
        <v>0.74162728897960883</v>
      </c>
      <c r="U28" s="82">
        <v>0.64014073113697645</v>
      </c>
      <c r="V28" s="82">
        <v>0.5802341251713683</v>
      </c>
      <c r="W28" s="82">
        <v>0.72842593841620251</v>
      </c>
      <c r="X28" s="82">
        <v>0.72747841929837198</v>
      </c>
      <c r="Y28" s="82">
        <v>0.80622311595694329</v>
      </c>
      <c r="Z28" s="82">
        <v>0.76348952294075267</v>
      </c>
      <c r="AA28" s="82">
        <v>0.70810161493024182</v>
      </c>
      <c r="AB28" s="82">
        <v>1</v>
      </c>
      <c r="AC28" s="82"/>
      <c r="AD28" s="82"/>
      <c r="AE28" s="82"/>
      <c r="AF28" s="82"/>
      <c r="AG28" s="82"/>
      <c r="AH28" s="82"/>
      <c r="AI28" s="82"/>
      <c r="AJ28" s="82"/>
      <c r="AK28" s="82"/>
      <c r="AL28" s="82"/>
      <c r="AM28" s="82"/>
      <c r="AN28" s="82"/>
      <c r="AO28" s="82"/>
      <c r="AP28" s="82"/>
      <c r="AQ28" s="82"/>
      <c r="AR28" s="82"/>
      <c r="AS28" s="82"/>
    </row>
    <row r="29" spans="1:45">
      <c r="A29" s="82" t="s">
        <v>29</v>
      </c>
      <c r="B29" s="82">
        <v>0.32702629087797153</v>
      </c>
      <c r="C29" s="82">
        <v>0.73653606243623893</v>
      </c>
      <c r="D29" s="82">
        <v>0.63618040590214076</v>
      </c>
      <c r="E29" s="82">
        <v>0.52836784856223939</v>
      </c>
      <c r="F29" s="82">
        <v>0.56958991386354973</v>
      </c>
      <c r="G29" s="82">
        <v>0.65877624597568829</v>
      </c>
      <c r="H29" s="82">
        <v>0.52217406794942456</v>
      </c>
      <c r="I29" s="82">
        <v>0.39122097816174117</v>
      </c>
      <c r="J29" s="82">
        <v>0.32281932495807208</v>
      </c>
      <c r="K29" s="82">
        <v>0.53194702747586387</v>
      </c>
      <c r="L29" s="82">
        <v>0.68181631677499521</v>
      </c>
      <c r="M29" s="82">
        <v>0.67620044812019853</v>
      </c>
      <c r="N29" s="82">
        <v>0.62846122746969835</v>
      </c>
      <c r="O29" s="82">
        <v>0.4419373088343958</v>
      </c>
      <c r="P29" s="82">
        <v>0.53243525799345681</v>
      </c>
      <c r="Q29" s="82">
        <v>0.36998494875496507</v>
      </c>
      <c r="R29" s="82">
        <v>0.52813279078741215</v>
      </c>
      <c r="S29" s="82">
        <v>0.63689658345972411</v>
      </c>
      <c r="T29" s="82">
        <v>0.5598692312141893</v>
      </c>
      <c r="U29" s="82">
        <v>0.55505986421538367</v>
      </c>
      <c r="V29" s="82">
        <v>0.66779084091272212</v>
      </c>
      <c r="W29" s="82">
        <v>0.49890166462280761</v>
      </c>
      <c r="X29" s="82">
        <v>0.70245908522467071</v>
      </c>
      <c r="Y29" s="82">
        <v>0.74561772015880978</v>
      </c>
      <c r="Z29" s="82">
        <v>0.76502024145373881</v>
      </c>
      <c r="AA29" s="82">
        <v>0.65945499004713404</v>
      </c>
      <c r="AB29" s="82">
        <v>0.68815132787660505</v>
      </c>
      <c r="AC29" s="82">
        <v>1</v>
      </c>
      <c r="AD29" s="82"/>
      <c r="AE29" s="82"/>
      <c r="AF29" s="82"/>
      <c r="AG29" s="82"/>
      <c r="AH29" s="82"/>
      <c r="AI29" s="82"/>
      <c r="AJ29" s="82"/>
      <c r="AK29" s="82"/>
      <c r="AL29" s="82"/>
      <c r="AM29" s="82"/>
      <c r="AN29" s="82"/>
      <c r="AO29" s="82"/>
      <c r="AP29" s="82"/>
      <c r="AQ29" s="82"/>
      <c r="AR29" s="82"/>
      <c r="AS29" s="82"/>
    </row>
    <row r="30" spans="1:45">
      <c r="A30" s="82" t="s">
        <v>30</v>
      </c>
      <c r="B30" s="82">
        <v>0.36631232975650135</v>
      </c>
      <c r="C30" s="82">
        <v>0.75465088237745614</v>
      </c>
      <c r="D30" s="82">
        <v>0.7319376260481153</v>
      </c>
      <c r="E30" s="82">
        <v>0.5500831863476221</v>
      </c>
      <c r="F30" s="82">
        <v>0.57941136909877666</v>
      </c>
      <c r="G30" s="82">
        <v>0.66491218840900645</v>
      </c>
      <c r="H30" s="82">
        <v>0.75940037240194969</v>
      </c>
      <c r="I30" s="82">
        <v>0.43096231809590319</v>
      </c>
      <c r="J30" s="82">
        <v>0.33307828609264445</v>
      </c>
      <c r="K30" s="82">
        <v>0.35786651577481843</v>
      </c>
      <c r="L30" s="82">
        <v>0.62716004124977542</v>
      </c>
      <c r="M30" s="82">
        <v>0.71398096837993152</v>
      </c>
      <c r="N30" s="82">
        <v>0.56853203662707619</v>
      </c>
      <c r="O30" s="82">
        <v>0.58365486457389193</v>
      </c>
      <c r="P30" s="82">
        <v>0.46531172191806586</v>
      </c>
      <c r="Q30" s="82">
        <v>0.27925700498561706</v>
      </c>
      <c r="R30" s="82">
        <v>0.70287035109726959</v>
      </c>
      <c r="S30" s="82">
        <v>0.53701313296056796</v>
      </c>
      <c r="T30" s="82">
        <v>0.66263043570947489</v>
      </c>
      <c r="U30" s="82">
        <v>0.57467264064170853</v>
      </c>
      <c r="V30" s="82">
        <v>0.63688739245410186</v>
      </c>
      <c r="W30" s="82">
        <v>0.64486465367321955</v>
      </c>
      <c r="X30" s="82">
        <v>0.73343666987628697</v>
      </c>
      <c r="Y30" s="82">
        <v>0.73806874427794789</v>
      </c>
      <c r="Z30" s="82">
        <v>0.59222480333966121</v>
      </c>
      <c r="AA30" s="82">
        <v>0.58093962283231326</v>
      </c>
      <c r="AB30" s="82">
        <v>0.7750497507783225</v>
      </c>
      <c r="AC30" s="82">
        <v>0.58596695819976508</v>
      </c>
      <c r="AD30" s="82">
        <v>1</v>
      </c>
      <c r="AE30" s="82"/>
      <c r="AF30" s="82"/>
      <c r="AG30" s="82"/>
      <c r="AH30" s="82"/>
      <c r="AI30" s="82"/>
      <c r="AJ30" s="82"/>
      <c r="AK30" s="82"/>
      <c r="AL30" s="82"/>
      <c r="AM30" s="82"/>
      <c r="AN30" s="82"/>
      <c r="AO30" s="82"/>
      <c r="AP30" s="82"/>
      <c r="AQ30" s="82"/>
      <c r="AR30" s="82"/>
      <c r="AS30" s="82"/>
    </row>
    <row r="31" spans="1:45">
      <c r="A31" s="82" t="s">
        <v>31</v>
      </c>
      <c r="B31" s="82">
        <v>0.34560335125296177</v>
      </c>
      <c r="C31" s="82">
        <v>0.77400188190859531</v>
      </c>
      <c r="D31" s="82">
        <v>0.79344273228669604</v>
      </c>
      <c r="E31" s="82">
        <v>0.71359204228778972</v>
      </c>
      <c r="F31" s="82">
        <v>0.6521307710857257</v>
      </c>
      <c r="G31" s="82">
        <v>0.77857348079922373</v>
      </c>
      <c r="H31" s="82">
        <v>0.82208331344947561</v>
      </c>
      <c r="I31" s="82">
        <v>0.43715137902256823</v>
      </c>
      <c r="J31" s="82">
        <v>0.41919024316590503</v>
      </c>
      <c r="K31" s="82">
        <v>0.54905756569301301</v>
      </c>
      <c r="L31" s="82">
        <v>0.7540531552666192</v>
      </c>
      <c r="M31" s="82">
        <v>0.74042097167931253</v>
      </c>
      <c r="N31" s="82">
        <v>0.53621260054292352</v>
      </c>
      <c r="O31" s="82">
        <v>0.54808258061704596</v>
      </c>
      <c r="P31" s="82">
        <v>0.55687925164456631</v>
      </c>
      <c r="Q31" s="82">
        <v>0.43574126627704657</v>
      </c>
      <c r="R31" s="82">
        <v>0.7163205741575992</v>
      </c>
      <c r="S31" s="82">
        <v>0.70574787671928063</v>
      </c>
      <c r="T31" s="82">
        <v>0.79153080551936461</v>
      </c>
      <c r="U31" s="82">
        <v>0.72881205658673176</v>
      </c>
      <c r="V31" s="82">
        <v>0.76206415457650045</v>
      </c>
      <c r="W31" s="82">
        <v>0.69704945277340147</v>
      </c>
      <c r="X31" s="82">
        <v>0.8589150685808814</v>
      </c>
      <c r="Y31" s="82">
        <v>0.77762497990855994</v>
      </c>
      <c r="Z31" s="82">
        <v>0.74382114234151875</v>
      </c>
      <c r="AA31" s="82">
        <v>0.70879991798152797</v>
      </c>
      <c r="AB31" s="82">
        <v>0.81530161399672008</v>
      </c>
      <c r="AC31" s="82">
        <v>0.61543816917908545</v>
      </c>
      <c r="AD31" s="82">
        <v>0.84073411762046102</v>
      </c>
      <c r="AE31" s="82">
        <v>1</v>
      </c>
      <c r="AF31" s="82"/>
      <c r="AG31" s="82"/>
      <c r="AH31" s="82"/>
      <c r="AI31" s="82"/>
      <c r="AJ31" s="82"/>
      <c r="AK31" s="82"/>
      <c r="AL31" s="82"/>
      <c r="AM31" s="82"/>
      <c r="AN31" s="82"/>
      <c r="AO31" s="82"/>
      <c r="AP31" s="82"/>
      <c r="AQ31" s="82"/>
      <c r="AR31" s="82"/>
      <c r="AS31" s="82"/>
    </row>
    <row r="32" spans="1:45">
      <c r="A32" s="82" t="s">
        <v>32</v>
      </c>
      <c r="B32" s="82">
        <v>0.20278167579913514</v>
      </c>
      <c r="C32" s="82">
        <v>0.51519396807798612</v>
      </c>
      <c r="D32" s="82">
        <v>0.34398441553457526</v>
      </c>
      <c r="E32" s="82">
        <v>0.47908133858486263</v>
      </c>
      <c r="F32" s="82">
        <v>0.70595459131520277</v>
      </c>
      <c r="G32" s="82">
        <v>0.31635841464941816</v>
      </c>
      <c r="H32" s="82">
        <v>0.45961584003759159</v>
      </c>
      <c r="I32" s="82">
        <v>0.23023268439812666</v>
      </c>
      <c r="J32" s="82">
        <v>0.33413359735124748</v>
      </c>
      <c r="K32" s="82">
        <v>0.19025827937910766</v>
      </c>
      <c r="L32" s="82">
        <v>0.40635821428754698</v>
      </c>
      <c r="M32" s="82">
        <v>0.70466438321622027</v>
      </c>
      <c r="N32" s="82">
        <v>0.26206416698648594</v>
      </c>
      <c r="O32" s="82">
        <v>0.47477977147199063</v>
      </c>
      <c r="P32" s="82">
        <v>0.32711921375384861</v>
      </c>
      <c r="Q32" s="82">
        <v>0.60579100367316319</v>
      </c>
      <c r="R32" s="82">
        <v>0.38656585137542043</v>
      </c>
      <c r="S32" s="82">
        <v>0.42298870939540267</v>
      </c>
      <c r="T32" s="82">
        <v>0.3453049879328331</v>
      </c>
      <c r="U32" s="82">
        <v>0.34371231429136784</v>
      </c>
      <c r="V32" s="82">
        <v>0.29942791022616422</v>
      </c>
      <c r="W32" s="82">
        <v>0.2890290914441338</v>
      </c>
      <c r="X32" s="82">
        <v>0.40377475853030831</v>
      </c>
      <c r="Y32" s="82">
        <v>0.54879095446552051</v>
      </c>
      <c r="Z32" s="82">
        <v>0.5908544440187079</v>
      </c>
      <c r="AA32" s="82">
        <v>0.52736277303236823</v>
      </c>
      <c r="AB32" s="82">
        <v>0.56277505618919577</v>
      </c>
      <c r="AC32" s="82">
        <v>0.45595933654296583</v>
      </c>
      <c r="AD32" s="82">
        <v>0.40496995441492367</v>
      </c>
      <c r="AE32" s="82">
        <v>0.49310146019740914</v>
      </c>
      <c r="AF32" s="82">
        <v>1</v>
      </c>
      <c r="AG32" s="82"/>
      <c r="AH32" s="82"/>
      <c r="AI32" s="82"/>
      <c r="AJ32" s="82"/>
      <c r="AK32" s="82"/>
      <c r="AL32" s="82"/>
      <c r="AM32" s="82"/>
      <c r="AN32" s="82"/>
      <c r="AO32" s="82"/>
      <c r="AP32" s="82"/>
      <c r="AQ32" s="82"/>
      <c r="AR32" s="82"/>
      <c r="AS32" s="82"/>
    </row>
    <row r="33" spans="1:45">
      <c r="A33" s="82" t="s">
        <v>33</v>
      </c>
      <c r="B33" s="82">
        <v>0.28454024828749652</v>
      </c>
      <c r="C33" s="82">
        <v>0.71335631009803446</v>
      </c>
      <c r="D33" s="82">
        <v>0.65339146206789411</v>
      </c>
      <c r="E33" s="82">
        <v>0.5423118519019946</v>
      </c>
      <c r="F33" s="82">
        <v>0.49183879685890108</v>
      </c>
      <c r="G33" s="82">
        <v>0.69346365444822033</v>
      </c>
      <c r="H33" s="82">
        <v>0.70559697960875589</v>
      </c>
      <c r="I33" s="82">
        <v>0.38381847942567482</v>
      </c>
      <c r="J33" s="82">
        <v>0.44597334653831833</v>
      </c>
      <c r="K33" s="82">
        <v>0.44577533194563668</v>
      </c>
      <c r="L33" s="82">
        <v>0.64639680594184235</v>
      </c>
      <c r="M33" s="82">
        <v>0.59667209574182212</v>
      </c>
      <c r="N33" s="82">
        <v>0.61909215605788082</v>
      </c>
      <c r="O33" s="82">
        <v>0.47787787706635448</v>
      </c>
      <c r="P33" s="82">
        <v>0.56289424993092474</v>
      </c>
      <c r="Q33" s="82">
        <v>0.35514745174516305</v>
      </c>
      <c r="R33" s="82">
        <v>0.63141997477575318</v>
      </c>
      <c r="S33" s="82">
        <v>0.68434171549399669</v>
      </c>
      <c r="T33" s="82">
        <v>0.72187544436252049</v>
      </c>
      <c r="U33" s="82">
        <v>0.7539301724560391</v>
      </c>
      <c r="V33" s="82">
        <v>0.75937683974038395</v>
      </c>
      <c r="W33" s="82">
        <v>0.57979945020514956</v>
      </c>
      <c r="X33" s="82">
        <v>0.8166592327401746</v>
      </c>
      <c r="Y33" s="82">
        <v>0.67259197815765548</v>
      </c>
      <c r="Z33" s="82">
        <v>0.6956508473811156</v>
      </c>
      <c r="AA33" s="82">
        <v>0.75708559458328506</v>
      </c>
      <c r="AB33" s="82">
        <v>0.6049893106921399</v>
      </c>
      <c r="AC33" s="82">
        <v>0.55719212016368946</v>
      </c>
      <c r="AD33" s="82">
        <v>0.63397656755763132</v>
      </c>
      <c r="AE33" s="82">
        <v>0.79422489799402352</v>
      </c>
      <c r="AF33" s="82">
        <v>0.31584837490203022</v>
      </c>
      <c r="AG33" s="82">
        <v>1</v>
      </c>
      <c r="AH33" s="82"/>
      <c r="AI33" s="82"/>
      <c r="AJ33" s="82"/>
      <c r="AK33" s="82"/>
      <c r="AL33" s="82"/>
      <c r="AM33" s="82"/>
      <c r="AN33" s="82"/>
      <c r="AO33" s="82"/>
      <c r="AP33" s="82"/>
      <c r="AQ33" s="82"/>
      <c r="AR33" s="82"/>
      <c r="AS33" s="82"/>
    </row>
    <row r="34" spans="1:45">
      <c r="A34" s="82" t="s">
        <v>34</v>
      </c>
      <c r="B34" s="82">
        <v>0.36550230181861265</v>
      </c>
      <c r="C34" s="82">
        <v>0.8680449537843874</v>
      </c>
      <c r="D34" s="82">
        <v>0.71336233850828512</v>
      </c>
      <c r="E34" s="82">
        <v>0.70598859170104478</v>
      </c>
      <c r="F34" s="82">
        <v>0.76191102481396511</v>
      </c>
      <c r="G34" s="82">
        <v>0.69435865998946322</v>
      </c>
      <c r="H34" s="82">
        <v>0.73955549909629792</v>
      </c>
      <c r="I34" s="82">
        <v>0.47492095936251738</v>
      </c>
      <c r="J34" s="82">
        <v>0.45403517949315858</v>
      </c>
      <c r="K34" s="82">
        <v>0.57378955419076028</v>
      </c>
      <c r="L34" s="82">
        <v>0.72972147569392043</v>
      </c>
      <c r="M34" s="82">
        <v>0.85111899486849507</v>
      </c>
      <c r="N34" s="82">
        <v>0.59134592348167614</v>
      </c>
      <c r="O34" s="82">
        <v>0.61361002159949241</v>
      </c>
      <c r="P34" s="82">
        <v>0.63893820089262354</v>
      </c>
      <c r="Q34" s="82">
        <v>0.552788378087402</v>
      </c>
      <c r="R34" s="82">
        <v>0.69773674308032463</v>
      </c>
      <c r="S34" s="82">
        <v>0.75917251793925833</v>
      </c>
      <c r="T34" s="82">
        <v>0.7083809800400519</v>
      </c>
      <c r="U34" s="82">
        <v>0.73049144282809897</v>
      </c>
      <c r="V34" s="82">
        <v>0.67586171695133113</v>
      </c>
      <c r="W34" s="82">
        <v>0.69357346208427961</v>
      </c>
      <c r="X34" s="82">
        <v>0.73905102357152375</v>
      </c>
      <c r="Y34" s="82">
        <v>0.81833027313903739</v>
      </c>
      <c r="Z34" s="82">
        <v>0.80189449352399933</v>
      </c>
      <c r="AA34" s="82">
        <v>0.85067707672092541</v>
      </c>
      <c r="AB34" s="82">
        <v>0.78616630964657308</v>
      </c>
      <c r="AC34" s="82">
        <v>0.63649740913255404</v>
      </c>
      <c r="AD34" s="82">
        <v>0.68514497047386513</v>
      </c>
      <c r="AE34" s="82">
        <v>0.78053926377674088</v>
      </c>
      <c r="AF34" s="82">
        <v>0.56260819999368394</v>
      </c>
      <c r="AG34" s="82">
        <v>0.71140036239134163</v>
      </c>
      <c r="AH34" s="82">
        <v>1</v>
      </c>
      <c r="AI34" s="82"/>
      <c r="AJ34" s="82"/>
      <c r="AK34" s="82"/>
      <c r="AL34" s="82"/>
      <c r="AM34" s="82"/>
      <c r="AN34" s="82"/>
      <c r="AO34" s="82"/>
      <c r="AP34" s="82"/>
      <c r="AQ34" s="82"/>
      <c r="AR34" s="82"/>
      <c r="AS34" s="82"/>
    </row>
    <row r="35" spans="1:45">
      <c r="A35" s="82" t="s">
        <v>35</v>
      </c>
      <c r="B35" s="82">
        <v>0.51305221606166318</v>
      </c>
      <c r="C35" s="82">
        <v>0.75133951323517156</v>
      </c>
      <c r="D35" s="82">
        <v>0.86702643588060235</v>
      </c>
      <c r="E35" s="82">
        <v>0.57962694258697955</v>
      </c>
      <c r="F35" s="82">
        <v>0.54488172154127656</v>
      </c>
      <c r="G35" s="82">
        <v>0.79439820910391956</v>
      </c>
      <c r="H35" s="82">
        <v>0.61976634081315862</v>
      </c>
      <c r="I35" s="82">
        <v>0.61809522154896079</v>
      </c>
      <c r="J35" s="82">
        <v>0.4582728677277933</v>
      </c>
      <c r="K35" s="82">
        <v>0.51946864733829046</v>
      </c>
      <c r="L35" s="82">
        <v>0.51970584465147385</v>
      </c>
      <c r="M35" s="82">
        <v>0.62675425354328751</v>
      </c>
      <c r="N35" s="82">
        <v>0.56263546486535543</v>
      </c>
      <c r="O35" s="82">
        <v>0.45874729236591583</v>
      </c>
      <c r="P35" s="82">
        <v>0.45949077085782847</v>
      </c>
      <c r="Q35" s="82">
        <v>0.30337280149254803</v>
      </c>
      <c r="R35" s="82">
        <v>0.66911140672432234</v>
      </c>
      <c r="S35" s="82">
        <v>0.5137897861355939</v>
      </c>
      <c r="T35" s="82">
        <v>0.66296995858896735</v>
      </c>
      <c r="U35" s="82">
        <v>0.6681240167246536</v>
      </c>
      <c r="V35" s="82">
        <v>0.83588562421114732</v>
      </c>
      <c r="W35" s="82">
        <v>0.51901173938918377</v>
      </c>
      <c r="X35" s="82">
        <v>0.75043747384238002</v>
      </c>
      <c r="Y35" s="82">
        <v>0.70795587712217212</v>
      </c>
      <c r="Z35" s="82">
        <v>0.62430908682549136</v>
      </c>
      <c r="AA35" s="82">
        <v>0.68226487276296366</v>
      </c>
      <c r="AB35" s="82">
        <v>0.63717869008360983</v>
      </c>
      <c r="AC35" s="82">
        <v>0.62430646339986817</v>
      </c>
      <c r="AD35" s="82">
        <v>0.70112882448019598</v>
      </c>
      <c r="AE35" s="82">
        <v>0.75174271878972865</v>
      </c>
      <c r="AF35" s="82">
        <v>0.21671627088920378</v>
      </c>
      <c r="AG35" s="82">
        <v>0.6866791103205292</v>
      </c>
      <c r="AH35" s="82">
        <v>0.68772581275609568</v>
      </c>
      <c r="AI35" s="82">
        <v>1</v>
      </c>
      <c r="AJ35" s="82"/>
      <c r="AK35" s="82"/>
      <c r="AL35" s="82"/>
      <c r="AM35" s="82"/>
      <c r="AN35" s="82"/>
      <c r="AO35" s="82"/>
      <c r="AP35" s="82"/>
      <c r="AQ35" s="82"/>
      <c r="AR35" s="82"/>
      <c r="AS35" s="82"/>
    </row>
    <row r="36" spans="1:45">
      <c r="A36" s="82" t="s">
        <v>36</v>
      </c>
      <c r="B36" s="82">
        <v>0.43794056842743784</v>
      </c>
      <c r="C36" s="82">
        <v>0.64871806591011127</v>
      </c>
      <c r="D36" s="82">
        <v>0.54931323465208259</v>
      </c>
      <c r="E36" s="82">
        <v>0.61489443690545065</v>
      </c>
      <c r="F36" s="82">
        <v>0.47827833571674394</v>
      </c>
      <c r="G36" s="82">
        <v>0.57360868005199883</v>
      </c>
      <c r="H36" s="82">
        <v>0.56486600202626347</v>
      </c>
      <c r="I36" s="82">
        <v>0.46425730267575527</v>
      </c>
      <c r="J36" s="82">
        <v>0.62773076230177915</v>
      </c>
      <c r="K36" s="82">
        <v>0.39225002919835106</v>
      </c>
      <c r="L36" s="82">
        <v>0.52342725044639249</v>
      </c>
      <c r="M36" s="82">
        <v>0.68978607098307365</v>
      </c>
      <c r="N36" s="82">
        <v>0.53989708695529059</v>
      </c>
      <c r="O36" s="82">
        <v>0.61583514636828773</v>
      </c>
      <c r="P36" s="82">
        <v>0.45956912083359325</v>
      </c>
      <c r="Q36" s="82">
        <v>0.36012883975215937</v>
      </c>
      <c r="R36" s="82">
        <v>0.58961323707419755</v>
      </c>
      <c r="S36" s="82">
        <v>0.56609904673120737</v>
      </c>
      <c r="T36" s="82">
        <v>0.48230791970379494</v>
      </c>
      <c r="U36" s="82">
        <v>0.58687171582411746</v>
      </c>
      <c r="V36" s="82">
        <v>0.49867322317163243</v>
      </c>
      <c r="W36" s="82">
        <v>0.49274609026653327</v>
      </c>
      <c r="X36" s="82">
        <v>0.60855005101696746</v>
      </c>
      <c r="Y36" s="82">
        <v>0.64841194350910758</v>
      </c>
      <c r="Z36" s="82">
        <v>0.60751628327612006</v>
      </c>
      <c r="AA36" s="82">
        <v>0.56607602588986683</v>
      </c>
      <c r="AB36" s="82">
        <v>0.62257803305312165</v>
      </c>
      <c r="AC36" s="82">
        <v>0.53758435508679669</v>
      </c>
      <c r="AD36" s="82">
        <v>0.54354493397107695</v>
      </c>
      <c r="AE36" s="82">
        <v>0.58658546386075949</v>
      </c>
      <c r="AF36" s="82">
        <v>0.4871511581274412</v>
      </c>
      <c r="AG36" s="82">
        <v>0.45410403981954411</v>
      </c>
      <c r="AH36" s="82">
        <v>0.65883881790065124</v>
      </c>
      <c r="AI36" s="82">
        <v>0.55185919070723388</v>
      </c>
      <c r="AJ36" s="82">
        <v>1</v>
      </c>
      <c r="AK36" s="82"/>
      <c r="AL36" s="82"/>
      <c r="AM36" s="82"/>
      <c r="AN36" s="82"/>
      <c r="AO36" s="82"/>
      <c r="AP36" s="82"/>
      <c r="AQ36" s="82"/>
      <c r="AR36" s="82"/>
      <c r="AS36" s="82"/>
    </row>
    <row r="37" spans="1:45">
      <c r="A37" s="82" t="s">
        <v>37</v>
      </c>
      <c r="B37" s="82">
        <v>0.36473666466848875</v>
      </c>
      <c r="C37" s="82">
        <v>0.82846456165369875</v>
      </c>
      <c r="D37" s="82">
        <v>0.72541956212784131</v>
      </c>
      <c r="E37" s="82">
        <v>0.69943860434852889</v>
      </c>
      <c r="F37" s="82">
        <v>0.7714905571791445</v>
      </c>
      <c r="G37" s="82">
        <v>0.70545911067512612</v>
      </c>
      <c r="H37" s="82">
        <v>0.80273306241623543</v>
      </c>
      <c r="I37" s="82">
        <v>0.39976413167764668</v>
      </c>
      <c r="J37" s="82">
        <v>0.42076925796682901</v>
      </c>
      <c r="K37" s="82">
        <v>0.53411874550285654</v>
      </c>
      <c r="L37" s="82">
        <v>0.75134386667315012</v>
      </c>
      <c r="M37" s="82">
        <v>0.88234863015188214</v>
      </c>
      <c r="N37" s="82">
        <v>0.57393037216147302</v>
      </c>
      <c r="O37" s="82">
        <v>0.62584998292001015</v>
      </c>
      <c r="P37" s="82">
        <v>0.56211044929854403</v>
      </c>
      <c r="Q37" s="82">
        <v>0.48238211922935947</v>
      </c>
      <c r="R37" s="82">
        <v>0.75822364853317548</v>
      </c>
      <c r="S37" s="82">
        <v>0.6865162713585744</v>
      </c>
      <c r="T37" s="82">
        <v>0.73399783426258658</v>
      </c>
      <c r="U37" s="82">
        <v>0.66358786988267549</v>
      </c>
      <c r="V37" s="82">
        <v>0.68967963144289579</v>
      </c>
      <c r="W37" s="82">
        <v>0.70839065416024816</v>
      </c>
      <c r="X37" s="82">
        <v>0.76484493402552878</v>
      </c>
      <c r="Y37" s="82">
        <v>0.8284675757639347</v>
      </c>
      <c r="Z37" s="82">
        <v>0.77164686969011931</v>
      </c>
      <c r="AA37" s="82">
        <v>0.75546483818275956</v>
      </c>
      <c r="AB37" s="82">
        <v>0.86164888091143987</v>
      </c>
      <c r="AC37" s="82">
        <v>0.75245428636122835</v>
      </c>
      <c r="AD37" s="82">
        <v>0.77044048188631675</v>
      </c>
      <c r="AE37" s="82">
        <v>0.83768497313327117</v>
      </c>
      <c r="AF37" s="82">
        <v>0.67306985099989391</v>
      </c>
      <c r="AG37" s="82">
        <v>0.70356581886321401</v>
      </c>
      <c r="AH37" s="82">
        <v>0.79239293541404388</v>
      </c>
      <c r="AI37" s="82">
        <v>0.62710665521244768</v>
      </c>
      <c r="AJ37" s="82">
        <v>0.62526693513837284</v>
      </c>
      <c r="AK37" s="82">
        <v>1</v>
      </c>
      <c r="AL37" s="82"/>
      <c r="AM37" s="82"/>
      <c r="AN37" s="82"/>
      <c r="AO37" s="82"/>
      <c r="AP37" s="82"/>
      <c r="AQ37" s="82"/>
      <c r="AR37" s="82"/>
      <c r="AS37" s="82"/>
    </row>
    <row r="38" spans="1:45">
      <c r="A38" s="82" t="s">
        <v>38</v>
      </c>
      <c r="B38" s="82">
        <v>0.31531646468113561</v>
      </c>
      <c r="C38" s="82">
        <v>0.64633242318516959</v>
      </c>
      <c r="D38" s="82">
        <v>0.56624398912954499</v>
      </c>
      <c r="E38" s="82">
        <v>0.42680773993119248</v>
      </c>
      <c r="F38" s="82">
        <v>0.46202880399876317</v>
      </c>
      <c r="G38" s="82">
        <v>0.52870888283720308</v>
      </c>
      <c r="H38" s="82">
        <v>0.60673966409963442</v>
      </c>
      <c r="I38" s="82">
        <v>0.22201339062114964</v>
      </c>
      <c r="J38" s="82">
        <v>0.26995283484616583</v>
      </c>
      <c r="K38" s="82">
        <v>0.38146985926686977</v>
      </c>
      <c r="L38" s="82">
        <v>0.63293552800325326</v>
      </c>
      <c r="M38" s="82">
        <v>0.61873386837317357</v>
      </c>
      <c r="N38" s="82">
        <v>0.57558763473834784</v>
      </c>
      <c r="O38" s="82">
        <v>0.54925955734095555</v>
      </c>
      <c r="P38" s="82">
        <v>0.63437970943562638</v>
      </c>
      <c r="Q38" s="82">
        <v>0.30990154856489149</v>
      </c>
      <c r="R38" s="82">
        <v>0.63666603580438907</v>
      </c>
      <c r="S38" s="82">
        <v>0.55383597886586733</v>
      </c>
      <c r="T38" s="82">
        <v>0.67491927389116635</v>
      </c>
      <c r="U38" s="82">
        <v>0.48359450500987272</v>
      </c>
      <c r="V38" s="82">
        <v>0.58642930711443308</v>
      </c>
      <c r="W38" s="82">
        <v>0.57144732667186948</v>
      </c>
      <c r="X38" s="82">
        <v>0.61050123296210657</v>
      </c>
      <c r="Y38" s="82">
        <v>0.6830435236978738</v>
      </c>
      <c r="Z38" s="82">
        <v>0.57727669322492192</v>
      </c>
      <c r="AA38" s="82">
        <v>0.63156790221621617</v>
      </c>
      <c r="AB38" s="82">
        <v>0.62135964623845219</v>
      </c>
      <c r="AC38" s="82">
        <v>0.57689677684651786</v>
      </c>
      <c r="AD38" s="82">
        <v>0.63890099452187477</v>
      </c>
      <c r="AE38" s="82">
        <v>0.66807763995429981</v>
      </c>
      <c r="AF38" s="82">
        <v>0.29977202568534622</v>
      </c>
      <c r="AG38" s="82">
        <v>0.53413128901649332</v>
      </c>
      <c r="AH38" s="82">
        <v>0.62591318663200091</v>
      </c>
      <c r="AI38" s="82">
        <v>0.59744303969713719</v>
      </c>
      <c r="AJ38" s="82">
        <v>0.44962965209714451</v>
      </c>
      <c r="AK38" s="82">
        <v>0.60354136977689377</v>
      </c>
      <c r="AL38" s="82">
        <v>1</v>
      </c>
      <c r="AM38" s="82"/>
      <c r="AN38" s="82"/>
      <c r="AO38" s="82"/>
      <c r="AP38" s="82"/>
      <c r="AQ38" s="82"/>
      <c r="AR38" s="82"/>
      <c r="AS38" s="82"/>
    </row>
    <row r="39" spans="1:45">
      <c r="A39" s="82" t="s">
        <v>39</v>
      </c>
      <c r="B39" s="82">
        <v>0.31941953307394</v>
      </c>
      <c r="C39" s="82">
        <v>0.72116397587914127</v>
      </c>
      <c r="D39" s="82">
        <v>0.71443435866964966</v>
      </c>
      <c r="E39" s="82">
        <v>0.65397464676036854</v>
      </c>
      <c r="F39" s="82">
        <v>0.62958128446414685</v>
      </c>
      <c r="G39" s="82">
        <v>0.65681664590722189</v>
      </c>
      <c r="H39" s="82">
        <v>0.81156337161647707</v>
      </c>
      <c r="I39" s="82">
        <v>0.30264696839528904</v>
      </c>
      <c r="J39" s="82">
        <v>0.47255660603155142</v>
      </c>
      <c r="K39" s="82">
        <v>0.52153753242090484</v>
      </c>
      <c r="L39" s="82">
        <v>0.71175020352763674</v>
      </c>
      <c r="M39" s="82">
        <v>0.71850581150187365</v>
      </c>
      <c r="N39" s="82">
        <v>0.55520601886577547</v>
      </c>
      <c r="O39" s="82">
        <v>0.4627617998274613</v>
      </c>
      <c r="P39" s="82">
        <v>0.61652866795337335</v>
      </c>
      <c r="Q39" s="82">
        <v>0.33532100386535046</v>
      </c>
      <c r="R39" s="82">
        <v>0.63358799704645619</v>
      </c>
      <c r="S39" s="82">
        <v>0.71956941340144454</v>
      </c>
      <c r="T39" s="82">
        <v>0.86543468699639148</v>
      </c>
      <c r="U39" s="82">
        <v>0.72348720702042757</v>
      </c>
      <c r="V39" s="82">
        <v>0.69230504110481494</v>
      </c>
      <c r="W39" s="82">
        <v>0.68526378841594859</v>
      </c>
      <c r="X39" s="82">
        <v>0.80687223619630521</v>
      </c>
      <c r="Y39" s="82">
        <v>0.74572746167726478</v>
      </c>
      <c r="Z39" s="82">
        <v>0.72976929257998724</v>
      </c>
      <c r="AA39" s="82">
        <v>0.70279444213337672</v>
      </c>
      <c r="AB39" s="82">
        <v>0.79142597473515242</v>
      </c>
      <c r="AC39" s="82">
        <v>0.5687642429354689</v>
      </c>
      <c r="AD39" s="82">
        <v>0.77979564188430139</v>
      </c>
      <c r="AE39" s="82">
        <v>0.86747899493428049</v>
      </c>
      <c r="AF39" s="82">
        <v>0.45063702737685557</v>
      </c>
      <c r="AG39" s="82">
        <v>0.74483983861644454</v>
      </c>
      <c r="AH39" s="82">
        <v>0.76864372680971227</v>
      </c>
      <c r="AI39" s="82">
        <v>0.67447858071063949</v>
      </c>
      <c r="AJ39" s="82">
        <v>0.59898464458069889</v>
      </c>
      <c r="AK39" s="82">
        <v>0.79584414476474385</v>
      </c>
      <c r="AL39" s="82">
        <v>0.66336941848268505</v>
      </c>
      <c r="AM39" s="82">
        <v>1</v>
      </c>
      <c r="AN39" s="82"/>
      <c r="AO39" s="82"/>
      <c r="AP39" s="82"/>
      <c r="AQ39" s="82"/>
      <c r="AR39" s="82"/>
      <c r="AS39" s="82"/>
    </row>
    <row r="40" spans="1:45">
      <c r="A40" s="82" t="s">
        <v>40</v>
      </c>
      <c r="B40" s="82">
        <v>0.31335216573451957</v>
      </c>
      <c r="C40" s="82">
        <v>0.71353957801043355</v>
      </c>
      <c r="D40" s="82">
        <v>0.63693635575262852</v>
      </c>
      <c r="E40" s="82">
        <v>0.65709781813268431</v>
      </c>
      <c r="F40" s="82">
        <v>0.58655451597560626</v>
      </c>
      <c r="G40" s="82">
        <v>0.67644167721869519</v>
      </c>
      <c r="H40" s="82">
        <v>0.69509388531887562</v>
      </c>
      <c r="I40" s="82">
        <v>0.37815972816730292</v>
      </c>
      <c r="J40" s="82">
        <v>0.43528066268031435</v>
      </c>
      <c r="K40" s="82">
        <v>0.51189964978870039</v>
      </c>
      <c r="L40" s="82">
        <v>0.63448483993710392</v>
      </c>
      <c r="M40" s="82">
        <v>0.67316785457876138</v>
      </c>
      <c r="N40" s="82">
        <v>0.47139847564332604</v>
      </c>
      <c r="O40" s="82">
        <v>0.35172744993678645</v>
      </c>
      <c r="P40" s="82">
        <v>0.53685239003165042</v>
      </c>
      <c r="Q40" s="82">
        <v>0.31172086023126439</v>
      </c>
      <c r="R40" s="82">
        <v>0.60000705172273505</v>
      </c>
      <c r="S40" s="82">
        <v>0.64860377812546577</v>
      </c>
      <c r="T40" s="82">
        <v>0.80818174888787775</v>
      </c>
      <c r="U40" s="82">
        <v>0.58906418451555531</v>
      </c>
      <c r="V40" s="82">
        <v>0.58615568517114691</v>
      </c>
      <c r="W40" s="82">
        <v>0.70628361121874172</v>
      </c>
      <c r="X40" s="82">
        <v>0.67398460621600864</v>
      </c>
      <c r="Y40" s="82">
        <v>0.68847722986507387</v>
      </c>
      <c r="Z40" s="82">
        <v>0.63409658776036248</v>
      </c>
      <c r="AA40" s="82">
        <v>0.61016126202516008</v>
      </c>
      <c r="AB40" s="82">
        <v>0.7624957635656463</v>
      </c>
      <c r="AC40" s="82">
        <v>0.52437481002843878</v>
      </c>
      <c r="AD40" s="82">
        <v>0.63750934816102334</v>
      </c>
      <c r="AE40" s="82">
        <v>0.70825785654221873</v>
      </c>
      <c r="AF40" s="82">
        <v>0.39283433349313729</v>
      </c>
      <c r="AG40" s="82">
        <v>0.5953928819600568</v>
      </c>
      <c r="AH40" s="82">
        <v>0.66647247583498748</v>
      </c>
      <c r="AI40" s="82">
        <v>0.59476498714235837</v>
      </c>
      <c r="AJ40" s="82">
        <v>0.57499115468925965</v>
      </c>
      <c r="AK40" s="82">
        <v>0.76127195256113844</v>
      </c>
      <c r="AL40" s="82">
        <v>0.51497969985185577</v>
      </c>
      <c r="AM40" s="82">
        <v>0.83933358418036585</v>
      </c>
      <c r="AN40" s="82">
        <v>1</v>
      </c>
      <c r="AO40" s="82"/>
      <c r="AP40" s="82"/>
      <c r="AQ40" s="82"/>
      <c r="AR40" s="82"/>
      <c r="AS40" s="82"/>
    </row>
    <row r="41" spans="1:45">
      <c r="A41" s="82" t="s">
        <v>41</v>
      </c>
      <c r="B41" s="82">
        <v>0.32079741863758721</v>
      </c>
      <c r="C41" s="82">
        <v>0.44277686179257031</v>
      </c>
      <c r="D41" s="82">
        <v>0.31126301494624992</v>
      </c>
      <c r="E41" s="82">
        <v>0.30784370461102406</v>
      </c>
      <c r="F41" s="82">
        <v>0.34720753343683652</v>
      </c>
      <c r="G41" s="82">
        <v>0.19431890139891753</v>
      </c>
      <c r="H41" s="82">
        <v>0.3418806520156199</v>
      </c>
      <c r="I41" s="82">
        <v>0.11619581434282562</v>
      </c>
      <c r="J41" s="82">
        <v>0.23498706611341832</v>
      </c>
      <c r="K41" s="82">
        <v>0.35169461048652745</v>
      </c>
      <c r="L41" s="82">
        <v>0.41025488454445208</v>
      </c>
      <c r="M41" s="82">
        <v>0.49456425107976193</v>
      </c>
      <c r="N41" s="82">
        <v>0.42021619456135828</v>
      </c>
      <c r="O41" s="82">
        <v>0.46371742101258823</v>
      </c>
      <c r="P41" s="82">
        <v>0.43600690821678723</v>
      </c>
      <c r="Q41" s="82">
        <v>0.24112812667593839</v>
      </c>
      <c r="R41" s="82">
        <v>0.52450077642804938</v>
      </c>
      <c r="S41" s="82">
        <v>0.30887133776704806</v>
      </c>
      <c r="T41" s="82">
        <v>0.32699106815883749</v>
      </c>
      <c r="U41" s="82">
        <v>0.32533579545010055</v>
      </c>
      <c r="V41" s="82">
        <v>0.36176371826476683</v>
      </c>
      <c r="W41" s="82">
        <v>0.45542504856260935</v>
      </c>
      <c r="X41" s="82">
        <v>0.30737116452256485</v>
      </c>
      <c r="Y41" s="82">
        <v>0.41620253233669113</v>
      </c>
      <c r="Z41" s="82">
        <v>0.26122972751718176</v>
      </c>
      <c r="AA41" s="82">
        <v>0.41301277755397536</v>
      </c>
      <c r="AB41" s="82">
        <v>0.45554662138432106</v>
      </c>
      <c r="AC41" s="82">
        <v>0.42528818897252196</v>
      </c>
      <c r="AD41" s="82">
        <v>0.31274992831215903</v>
      </c>
      <c r="AE41" s="82">
        <v>0.30820410131115744</v>
      </c>
      <c r="AF41" s="82">
        <v>0.22115065709086471</v>
      </c>
      <c r="AG41" s="82">
        <v>0.27033633903619197</v>
      </c>
      <c r="AH41" s="82">
        <v>0.36261921520482138</v>
      </c>
      <c r="AI41" s="82">
        <v>0.26446278168718879</v>
      </c>
      <c r="AJ41" s="82">
        <v>0.37497440732140253</v>
      </c>
      <c r="AK41" s="82">
        <v>0.52049292920041301</v>
      </c>
      <c r="AL41" s="82">
        <v>0.43266146933601263</v>
      </c>
      <c r="AM41" s="82">
        <v>0.34236018429426224</v>
      </c>
      <c r="AN41" s="82">
        <v>0.34070324995932072</v>
      </c>
      <c r="AO41" s="82">
        <v>1</v>
      </c>
      <c r="AP41" s="82"/>
      <c r="AQ41" s="82"/>
      <c r="AR41" s="82"/>
      <c r="AS41" s="82"/>
    </row>
    <row r="42" spans="1:45">
      <c r="A42" s="82" t="s">
        <v>42</v>
      </c>
      <c r="B42" s="82">
        <v>0.5322065915535733</v>
      </c>
      <c r="C42" s="82">
        <v>0.71653859190469227</v>
      </c>
      <c r="D42" s="82">
        <v>0.73936031710052286</v>
      </c>
      <c r="E42" s="82">
        <v>0.6465874446850931</v>
      </c>
      <c r="F42" s="82">
        <v>0.60490094656983295</v>
      </c>
      <c r="G42" s="82">
        <v>0.68222909156824585</v>
      </c>
      <c r="H42" s="82">
        <v>0.74628355430596616</v>
      </c>
      <c r="I42" s="82">
        <v>0.51685613739830238</v>
      </c>
      <c r="J42" s="82">
        <v>0.3333946166592226</v>
      </c>
      <c r="K42" s="82">
        <v>0.43309537773668</v>
      </c>
      <c r="L42" s="82">
        <v>0.59697648214923338</v>
      </c>
      <c r="M42" s="82">
        <v>0.74193386116363047</v>
      </c>
      <c r="N42" s="82">
        <v>0.52657425491720611</v>
      </c>
      <c r="O42" s="82">
        <v>0.62479662379006706</v>
      </c>
      <c r="P42" s="82">
        <v>0.55989414329329146</v>
      </c>
      <c r="Q42" s="82">
        <v>0.21213685188656678</v>
      </c>
      <c r="R42" s="82">
        <v>0.60267276736589392</v>
      </c>
      <c r="S42" s="82">
        <v>0.49174596055085151</v>
      </c>
      <c r="T42" s="82">
        <v>0.55807718709843179</v>
      </c>
      <c r="U42" s="82">
        <v>0.51970294803154726</v>
      </c>
      <c r="V42" s="82">
        <v>0.5925696834467945</v>
      </c>
      <c r="W42" s="82">
        <v>0.60737140272699541</v>
      </c>
      <c r="X42" s="82">
        <v>0.68870637171313853</v>
      </c>
      <c r="Y42" s="82">
        <v>0.78580180219292972</v>
      </c>
      <c r="Z42" s="82">
        <v>0.62496575688901601</v>
      </c>
      <c r="AA42" s="82">
        <v>0.6049079564508596</v>
      </c>
      <c r="AB42" s="82">
        <v>0.73913470974454698</v>
      </c>
      <c r="AC42" s="82">
        <v>0.6396252276483988</v>
      </c>
      <c r="AD42" s="82">
        <v>0.66111268046600713</v>
      </c>
      <c r="AE42" s="82">
        <v>0.65715345301991124</v>
      </c>
      <c r="AF42" s="82">
        <v>0.40596562627154731</v>
      </c>
      <c r="AG42" s="82">
        <v>0.53678274773978829</v>
      </c>
      <c r="AH42" s="82">
        <v>0.68301644268395301</v>
      </c>
      <c r="AI42" s="82">
        <v>0.66321023300757831</v>
      </c>
      <c r="AJ42" s="82">
        <v>0.65225181619572281</v>
      </c>
      <c r="AK42" s="82">
        <v>0.73014172354176188</v>
      </c>
      <c r="AL42" s="82">
        <v>0.62495869255303427</v>
      </c>
      <c r="AM42" s="82">
        <v>0.6889807154567763</v>
      </c>
      <c r="AN42" s="82">
        <v>0.64568460867905519</v>
      </c>
      <c r="AO42" s="82">
        <v>0.43903848467379419</v>
      </c>
      <c r="AP42" s="82">
        <v>1</v>
      </c>
      <c r="AQ42" s="82"/>
      <c r="AR42" s="82"/>
      <c r="AS42" s="82"/>
    </row>
    <row r="43" spans="1:45">
      <c r="A43" s="82" t="s">
        <v>43</v>
      </c>
      <c r="B43" s="82">
        <v>0.3395996935757844</v>
      </c>
      <c r="C43" s="82">
        <v>0.84227150721834187</v>
      </c>
      <c r="D43" s="82">
        <v>0.68676297701342026</v>
      </c>
      <c r="E43" s="82">
        <v>0.6845561734196729</v>
      </c>
      <c r="F43" s="82">
        <v>0.67150860321865469</v>
      </c>
      <c r="G43" s="82">
        <v>0.7054049338474756</v>
      </c>
      <c r="H43" s="82">
        <v>0.79452700817582356</v>
      </c>
      <c r="I43" s="82">
        <v>0.42804133281828133</v>
      </c>
      <c r="J43" s="82">
        <v>0.33189318045892774</v>
      </c>
      <c r="K43" s="82">
        <v>0.52318668837962967</v>
      </c>
      <c r="L43" s="82">
        <v>0.7205140670949145</v>
      </c>
      <c r="M43" s="82">
        <v>0.85810412430968719</v>
      </c>
      <c r="N43" s="82">
        <v>0.62125807394034638</v>
      </c>
      <c r="O43" s="82">
        <v>0.64835470620213531</v>
      </c>
      <c r="P43" s="82">
        <v>0.500527149651526</v>
      </c>
      <c r="Q43" s="82">
        <v>0.38298517771928747</v>
      </c>
      <c r="R43" s="82">
        <v>0.73873785443205842</v>
      </c>
      <c r="S43" s="82">
        <v>0.67484753591385083</v>
      </c>
      <c r="T43" s="82">
        <v>0.70073330194688643</v>
      </c>
      <c r="U43" s="82">
        <v>0.64617524736367815</v>
      </c>
      <c r="V43" s="82">
        <v>0.53707027167141497</v>
      </c>
      <c r="W43" s="82">
        <v>0.72793099320881194</v>
      </c>
      <c r="X43" s="82">
        <v>0.69643802877297023</v>
      </c>
      <c r="Y43" s="82">
        <v>0.8050248302527947</v>
      </c>
      <c r="Z43" s="82">
        <v>0.75522195925384838</v>
      </c>
      <c r="AA43" s="82">
        <v>0.72823666151057964</v>
      </c>
      <c r="AB43" s="82">
        <v>0.91639446398746827</v>
      </c>
      <c r="AC43" s="82">
        <v>0.70786103593278071</v>
      </c>
      <c r="AD43" s="82">
        <v>0.76101963753795698</v>
      </c>
      <c r="AE43" s="82">
        <v>0.78179699341616604</v>
      </c>
      <c r="AF43" s="82">
        <v>0.60012233595597864</v>
      </c>
      <c r="AG43" s="82">
        <v>0.63068737925784191</v>
      </c>
      <c r="AH43" s="82">
        <v>0.80663166204452308</v>
      </c>
      <c r="AI43" s="82">
        <v>0.61973808090930749</v>
      </c>
      <c r="AJ43" s="82">
        <v>0.66476477135305345</v>
      </c>
      <c r="AK43" s="82">
        <v>0.89851671681281386</v>
      </c>
      <c r="AL43" s="82">
        <v>0.57127046293167416</v>
      </c>
      <c r="AM43" s="82">
        <v>0.75486756766575891</v>
      </c>
      <c r="AN43" s="82">
        <v>0.79016887798859947</v>
      </c>
      <c r="AO43" s="82">
        <v>0.42145794502337852</v>
      </c>
      <c r="AP43" s="82">
        <v>0.74207738606868667</v>
      </c>
      <c r="AQ43" s="82">
        <v>1</v>
      </c>
      <c r="AR43" s="82"/>
      <c r="AS43" s="82"/>
    </row>
    <row r="44" spans="1:45">
      <c r="A44" s="82" t="s">
        <v>44</v>
      </c>
      <c r="B44" s="82">
        <v>0.38907189610771148</v>
      </c>
      <c r="C44" s="82">
        <v>0.79414864140306696</v>
      </c>
      <c r="D44" s="82">
        <v>0.72199453466178598</v>
      </c>
      <c r="E44" s="82">
        <v>0.59375653648753901</v>
      </c>
      <c r="F44" s="82">
        <v>0.61805066411157716</v>
      </c>
      <c r="G44" s="82">
        <v>0.66282921585096255</v>
      </c>
      <c r="H44" s="82">
        <v>0.70234687093747161</v>
      </c>
      <c r="I44" s="82">
        <v>0.43369872722537572</v>
      </c>
      <c r="J44" s="82">
        <v>0.26429500401120481</v>
      </c>
      <c r="K44" s="82">
        <v>0.49659359012322307</v>
      </c>
      <c r="L44" s="82">
        <v>0.72274455577053343</v>
      </c>
      <c r="M44" s="82">
        <v>0.79531430935453096</v>
      </c>
      <c r="N44" s="82">
        <v>0.64307585934992495</v>
      </c>
      <c r="O44" s="82">
        <v>0.60189793995352447</v>
      </c>
      <c r="P44" s="82">
        <v>0.68835050152738975</v>
      </c>
      <c r="Q44" s="82">
        <v>0.43098401726878627</v>
      </c>
      <c r="R44" s="82">
        <v>0.68236664389427149</v>
      </c>
      <c r="S44" s="82">
        <v>0.64807442994363673</v>
      </c>
      <c r="T44" s="82">
        <v>0.73092411744464236</v>
      </c>
      <c r="U44" s="82">
        <v>0.59909956945865295</v>
      </c>
      <c r="V44" s="82">
        <v>0.67351027377156347</v>
      </c>
      <c r="W44" s="82">
        <v>0.6355494733903374</v>
      </c>
      <c r="X44" s="82">
        <v>0.67584358258348498</v>
      </c>
      <c r="Y44" s="82">
        <v>0.77841303600187906</v>
      </c>
      <c r="Z44" s="82">
        <v>0.68267335267813056</v>
      </c>
      <c r="AA44" s="82">
        <v>0.75201236806365179</v>
      </c>
      <c r="AB44" s="82">
        <v>0.72247389909950122</v>
      </c>
      <c r="AC44" s="82">
        <v>0.71604066915681974</v>
      </c>
      <c r="AD44" s="82">
        <v>0.70299083172237331</v>
      </c>
      <c r="AE44" s="82">
        <v>0.71935498354008243</v>
      </c>
      <c r="AF44" s="82">
        <v>0.39821964665617743</v>
      </c>
      <c r="AG44" s="82">
        <v>0.61334911801072722</v>
      </c>
      <c r="AH44" s="82">
        <v>0.74297152862280247</v>
      </c>
      <c r="AI44" s="82">
        <v>0.66645296918790986</v>
      </c>
      <c r="AJ44" s="82">
        <v>0.53465387633277495</v>
      </c>
      <c r="AK44" s="82">
        <v>0.78351487130868447</v>
      </c>
      <c r="AL44" s="82">
        <v>0.74854038158906422</v>
      </c>
      <c r="AM44" s="82">
        <v>0.7053563718881759</v>
      </c>
      <c r="AN44" s="82">
        <v>0.65606683928383147</v>
      </c>
      <c r="AO44" s="82">
        <v>0.51137647916443896</v>
      </c>
      <c r="AP44" s="82">
        <v>0.67328558145418138</v>
      </c>
      <c r="AQ44" s="82">
        <v>0.74422091315311234</v>
      </c>
      <c r="AR44" s="82">
        <v>1</v>
      </c>
      <c r="AS44" s="82"/>
    </row>
    <row r="45" spans="1:45" ht="15.75" thickBot="1">
      <c r="A45" s="83" t="s">
        <v>45</v>
      </c>
      <c r="B45" s="83">
        <v>0.48578843520078352</v>
      </c>
      <c r="C45" s="83">
        <v>0.89306565326744103</v>
      </c>
      <c r="D45" s="83">
        <v>0.87293013364870919</v>
      </c>
      <c r="E45" s="83">
        <v>0.74041946748114584</v>
      </c>
      <c r="F45" s="83">
        <v>0.71576802439560072</v>
      </c>
      <c r="G45" s="83">
        <v>0.83661756352967565</v>
      </c>
      <c r="H45" s="83">
        <v>0.85013016114048146</v>
      </c>
      <c r="I45" s="83">
        <v>0.52607056890475778</v>
      </c>
      <c r="J45" s="83">
        <v>0.51067284813967595</v>
      </c>
      <c r="K45" s="83">
        <v>0.56719961236405192</v>
      </c>
      <c r="L45" s="83">
        <v>0.75980014050170308</v>
      </c>
      <c r="M45" s="83">
        <v>0.84642459466605813</v>
      </c>
      <c r="N45" s="83">
        <v>0.6621682229455671</v>
      </c>
      <c r="O45" s="83">
        <v>0.65502404483832777</v>
      </c>
      <c r="P45" s="83">
        <v>0.64257153303101089</v>
      </c>
      <c r="Q45" s="83">
        <v>0.44034955549646609</v>
      </c>
      <c r="R45" s="83">
        <v>0.804803661722028</v>
      </c>
      <c r="S45" s="83">
        <v>0.73347431994171375</v>
      </c>
      <c r="T45" s="83">
        <v>0.81683314660298134</v>
      </c>
      <c r="U45" s="83">
        <v>0.7599952349454544</v>
      </c>
      <c r="V45" s="83">
        <v>0.82947863888064255</v>
      </c>
      <c r="W45" s="83">
        <v>0.739815227474377</v>
      </c>
      <c r="X45" s="83">
        <v>0.88052208855510683</v>
      </c>
      <c r="Y45" s="83">
        <v>0.88187035622763044</v>
      </c>
      <c r="Z45" s="83">
        <v>0.78964769096973175</v>
      </c>
      <c r="AA45" s="83">
        <v>0.81943522917778755</v>
      </c>
      <c r="AB45" s="83">
        <v>0.85751992680561862</v>
      </c>
      <c r="AC45" s="83">
        <v>0.71027312831648259</v>
      </c>
      <c r="AD45" s="83">
        <v>0.87120863988079789</v>
      </c>
      <c r="AE45" s="83">
        <v>0.93550934336458591</v>
      </c>
      <c r="AF45" s="83">
        <v>0.48631035556192054</v>
      </c>
      <c r="AG45" s="83">
        <v>0.82027123320821937</v>
      </c>
      <c r="AH45" s="83">
        <v>0.85875096588842004</v>
      </c>
      <c r="AI45" s="83">
        <v>0.84710597109959729</v>
      </c>
      <c r="AJ45" s="83">
        <v>0.68826708378427592</v>
      </c>
      <c r="AK45" s="83">
        <v>0.8853016532672956</v>
      </c>
      <c r="AL45" s="83">
        <v>0.73098506432957855</v>
      </c>
      <c r="AM45" s="83">
        <v>0.8889011365612477</v>
      </c>
      <c r="AN45" s="83">
        <v>0.77800574396450273</v>
      </c>
      <c r="AO45" s="83">
        <v>0.43169294918328133</v>
      </c>
      <c r="AP45" s="83">
        <v>0.79023025199222574</v>
      </c>
      <c r="AQ45" s="83">
        <v>0.84903038127268371</v>
      </c>
      <c r="AR45" s="83">
        <v>0.83126493065234341</v>
      </c>
      <c r="AS45" s="83">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46</vt:i4>
      </vt:variant>
    </vt:vector>
  </HeadingPairs>
  <TitlesOfParts>
    <vt:vector size="56" baseType="lpstr">
      <vt:lpstr>Data</vt:lpstr>
      <vt:lpstr>Financial Data</vt:lpstr>
      <vt:lpstr>Security Analysis</vt:lpstr>
      <vt:lpstr>Matrix</vt:lpstr>
      <vt:lpstr>Estimating Beta</vt:lpstr>
      <vt:lpstr>Single Asset Return&amp;Risk</vt:lpstr>
      <vt:lpstr>Portfolio Return&amp;Risk</vt:lpstr>
      <vt:lpstr>Theoretical Portfolio, Brigham </vt:lpstr>
      <vt:lpstr>Covariance Matrix</vt:lpstr>
      <vt:lpstr>Correlation Matrix</vt:lpstr>
      <vt:lpstr>COL_CORR</vt:lpstr>
      <vt:lpstr>COL_COV</vt:lpstr>
      <vt:lpstr>COL_FINDATA</vt:lpstr>
      <vt:lpstr>CRITERIA</vt:lpstr>
      <vt:lpstr>FACTOR</vt:lpstr>
      <vt:lpstr>MARKET</vt:lpstr>
      <vt:lpstr>MARKET_SP500</vt:lpstr>
      <vt:lpstr>mue_1</vt:lpstr>
      <vt:lpstr>mue_2</vt:lpstr>
      <vt:lpstr>mVCM</vt:lpstr>
      <vt:lpstr>NO_OBS_EA</vt:lpstr>
      <vt:lpstr>NO_OBS_SA</vt:lpstr>
      <vt:lpstr>Rf</vt:lpstr>
      <vt:lpstr>Rm</vt:lpstr>
      <vt:lpstr>RP_EP</vt:lpstr>
      <vt:lpstr>RP_EP_C</vt:lpstr>
      <vt:lpstr>RP_MVP</vt:lpstr>
      <vt:lpstr>RP_MVP_C</vt:lpstr>
      <vt:lpstr>Rq</vt:lpstr>
      <vt:lpstr>SELECTIONS</vt:lpstr>
      <vt:lpstr>SELECTIONS_NO</vt:lpstr>
      <vt:lpstr>sigma_1</vt:lpstr>
      <vt:lpstr>sigma_2</vt:lpstr>
      <vt:lpstr>STD_EP</vt:lpstr>
      <vt:lpstr>STD_EP_C</vt:lpstr>
      <vt:lpstr>STD_MVP</vt:lpstr>
      <vt:lpstr>STD_MVP_C</vt:lpstr>
      <vt:lpstr>STOCK_A</vt:lpstr>
      <vt:lpstr>STOCK_GE</vt:lpstr>
      <vt:lpstr>STOCK_H</vt:lpstr>
      <vt:lpstr>STOCK_L</vt:lpstr>
      <vt:lpstr>STOCK_LISTS</vt:lpstr>
      <vt:lpstr>SYMBOLS</vt:lpstr>
      <vt:lpstr>TAB_CORR</vt:lpstr>
      <vt:lpstr>TAB_COV</vt:lpstr>
      <vt:lpstr>TAB_EA</vt:lpstr>
      <vt:lpstr>TAB_FINDATA</vt:lpstr>
      <vt:lpstr>TAB_MCAPS</vt:lpstr>
      <vt:lpstr>TAB_PORT</vt:lpstr>
      <vt:lpstr>TAB_PRICES</vt:lpstr>
      <vt:lpstr>TAB_RETURNS</vt:lpstr>
      <vt:lpstr>TAB_SA</vt:lpstr>
      <vt:lpstr>W_EP</vt:lpstr>
      <vt:lpstr>W_EP_C</vt:lpstr>
      <vt:lpstr>W_MVP</vt:lpstr>
      <vt:lpstr>W_MVP_C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Judy</dc:creator>
  <cp:lastModifiedBy>Siraprapa W.</cp:lastModifiedBy>
  <dcterms:created xsi:type="dcterms:W3CDTF">2006-09-16T00:00:00Z</dcterms:created>
  <dcterms:modified xsi:type="dcterms:W3CDTF">2013-03-18T13:15:57Z</dcterms:modified>
</cp:coreProperties>
</file>