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075"/>
  </bookViews>
  <sheets>
    <sheet name="Sheet1" sheetId="1" r:id="rId1"/>
    <sheet name="Sheet2" sheetId="2" r:id="rId2"/>
    <sheet name="Sheet3" sheetId="3" r:id="rId3"/>
  </sheets>
  <calcPr calcId="145621" iterate="1" calcOnSave="0"/>
</workbook>
</file>

<file path=xl/calcChain.xml><?xml version="1.0" encoding="utf-8"?>
<calcChain xmlns="http://schemas.openxmlformats.org/spreadsheetml/2006/main">
  <c r="C47" i="1" l="1"/>
  <c r="C49" i="1" s="1"/>
  <c r="C45" i="1"/>
  <c r="C43" i="1"/>
  <c r="B43" i="1"/>
  <c r="C42" i="1"/>
  <c r="B42" i="1"/>
  <c r="C41" i="1"/>
  <c r="B41" i="1"/>
  <c r="B40" i="1"/>
  <c r="C39" i="1"/>
  <c r="B39" i="1"/>
  <c r="W28" i="1"/>
  <c r="N27" i="1"/>
  <c r="O27" i="1" s="1"/>
  <c r="P27" i="1" s="1"/>
  <c r="Q26" i="1"/>
  <c r="R26" i="1" s="1"/>
  <c r="S26" i="1" s="1"/>
  <c r="T26" i="1" s="1"/>
  <c r="U26" i="1" s="1"/>
  <c r="V26" i="1" s="1"/>
  <c r="W26" i="1" s="1"/>
  <c r="P26" i="1"/>
  <c r="O26" i="1"/>
  <c r="I26" i="1"/>
  <c r="G26" i="1"/>
  <c r="E27" i="1" s="1"/>
  <c r="E26" i="1"/>
  <c r="C27" i="1" s="1"/>
  <c r="C28" i="1" s="1"/>
  <c r="C30" i="1" s="1"/>
  <c r="C26" i="1"/>
  <c r="Q25" i="1"/>
  <c r="R25" i="1" s="1"/>
  <c r="S25" i="1" s="1"/>
  <c r="T25" i="1" s="1"/>
  <c r="U25" i="1" s="1"/>
  <c r="V25" i="1" s="1"/>
  <c r="W25" i="1" s="1"/>
  <c r="P25" i="1"/>
  <c r="C24" i="1"/>
  <c r="C22" i="1"/>
  <c r="C20" i="1"/>
  <c r="Q16" i="1"/>
  <c r="R16" i="1" s="1"/>
  <c r="S16" i="1" s="1"/>
  <c r="T16" i="1" s="1"/>
  <c r="P16" i="1"/>
  <c r="N15" i="1"/>
  <c r="O15" i="1" s="1"/>
  <c r="O17" i="1" s="1"/>
  <c r="O14" i="1"/>
  <c r="P14" i="1" s="1"/>
  <c r="Q14" i="1" s="1"/>
  <c r="R14" i="1" s="1"/>
  <c r="S14" i="1" s="1"/>
  <c r="T14" i="1" s="1"/>
  <c r="U14" i="1" s="1"/>
  <c r="V14" i="1" s="1"/>
  <c r="W14" i="1" s="1"/>
  <c r="P13" i="1"/>
  <c r="Q13" i="1" s="1"/>
  <c r="R13" i="1" s="1"/>
  <c r="S13" i="1" s="1"/>
  <c r="T13" i="1" s="1"/>
  <c r="U13" i="1" s="1"/>
  <c r="V13" i="1" s="1"/>
  <c r="W13" i="1" s="1"/>
  <c r="C11" i="1"/>
  <c r="C8" i="1"/>
  <c r="W6" i="1"/>
  <c r="W16" i="1" s="1"/>
  <c r="C6" i="1"/>
  <c r="O5" i="1"/>
  <c r="N5" i="1"/>
  <c r="Q4" i="1"/>
  <c r="R4" i="1" s="1"/>
  <c r="S4" i="1" s="1"/>
  <c r="T4" i="1" s="1"/>
  <c r="U4" i="1" s="1"/>
  <c r="V4" i="1" s="1"/>
  <c r="W4" i="1" s="1"/>
  <c r="O4" i="1"/>
  <c r="P4" i="1" s="1"/>
  <c r="P3" i="1"/>
  <c r="Q3" i="1" s="1"/>
  <c r="R3" i="1" s="1"/>
  <c r="S3" i="1" s="1"/>
  <c r="T3" i="1" s="1"/>
  <c r="U3" i="1" s="1"/>
  <c r="V3" i="1" s="1"/>
  <c r="W3" i="1" s="1"/>
  <c r="N1" i="1"/>
  <c r="N23" i="1" s="1"/>
  <c r="U16" i="1" l="1"/>
  <c r="V16" i="1" s="1"/>
  <c r="P29" i="1"/>
  <c r="Q27" i="1"/>
  <c r="P15" i="1"/>
  <c r="O7" i="1"/>
  <c r="P5" i="1"/>
  <c r="Q5" i="1" l="1"/>
  <c r="P7" i="1"/>
  <c r="P17" i="1"/>
  <c r="Q15" i="1"/>
  <c r="V12" i="1"/>
  <c r="Q29" i="1"/>
  <c r="R27" i="1"/>
  <c r="S27" i="1" l="1"/>
  <c r="R29" i="1"/>
  <c r="R5" i="1"/>
  <c r="Q7" i="1"/>
  <c r="Q17" i="1"/>
  <c r="R15" i="1"/>
  <c r="R7" i="1" l="1"/>
  <c r="S5" i="1"/>
  <c r="S29" i="1"/>
  <c r="T27" i="1"/>
  <c r="R17" i="1"/>
  <c r="S15" i="1"/>
  <c r="T29" i="1" l="1"/>
  <c r="U27" i="1"/>
  <c r="S7" i="1"/>
  <c r="T5" i="1"/>
  <c r="S17" i="1"/>
  <c r="T15" i="1"/>
  <c r="U15" i="1" l="1"/>
  <c r="T17" i="1"/>
  <c r="U29" i="1"/>
  <c r="V27" i="1"/>
  <c r="U5" i="1"/>
  <c r="T7" i="1"/>
  <c r="V5" i="1" l="1"/>
  <c r="U7" i="1"/>
  <c r="W27" i="1"/>
  <c r="V30" i="1" s="1"/>
  <c r="V31" i="1" s="1"/>
  <c r="N32" i="1" s="1"/>
  <c r="V29" i="1"/>
  <c r="U17" i="1"/>
  <c r="V15" i="1"/>
  <c r="V17" i="1" l="1"/>
  <c r="W15" i="1"/>
  <c r="V18" i="1" s="1"/>
  <c r="V19" i="1" s="1"/>
  <c r="N20" i="1" s="1"/>
  <c r="V7" i="1"/>
  <c r="W5" i="1"/>
  <c r="V8" i="1" s="1"/>
  <c r="V9" i="1" s="1"/>
  <c r="N10" i="1" s="1"/>
  <c r="N34" i="1" s="1"/>
  <c r="N33" i="1" l="1"/>
  <c r="N35" i="1" s="1"/>
</calcChain>
</file>

<file path=xl/sharedStrings.xml><?xml version="1.0" encoding="utf-8"?>
<sst xmlns="http://schemas.openxmlformats.org/spreadsheetml/2006/main" count="88" uniqueCount="53">
  <si>
    <t xml:space="preserve">k = </t>
  </si>
  <si>
    <t>P33</t>
  </si>
  <si>
    <t>BJC Case Study</t>
  </si>
  <si>
    <t>2-stage DDM</t>
  </si>
  <si>
    <t xml:space="preserve"> </t>
  </si>
  <si>
    <t>2012 EPS</t>
  </si>
  <si>
    <t>2012 DPS</t>
  </si>
  <si>
    <t>DPS</t>
  </si>
  <si>
    <t>2012 dividend payout ratio</t>
  </si>
  <si>
    <t>% growth</t>
  </si>
  <si>
    <t>Average growth 2013-2020</t>
  </si>
  <si>
    <t>PV DPS</t>
  </si>
  <si>
    <t>Stable growth from 2021</t>
  </si>
  <si>
    <t>TV</t>
  </si>
  <si>
    <t>Target ROE</t>
  </si>
  <si>
    <t>PV TV</t>
  </si>
  <si>
    <t>Target Dividend payout ratio</t>
  </si>
  <si>
    <t>FV 12-end</t>
  </si>
  <si>
    <t>Target Retention ratio</t>
  </si>
  <si>
    <r>
      <t>k</t>
    </r>
    <r>
      <rPr>
        <vertAlign val="subscript"/>
        <sz val="11"/>
        <color theme="1"/>
        <rFont val="Tahoma"/>
        <family val="2"/>
        <scheme val="minor"/>
      </rPr>
      <t>e</t>
    </r>
    <r>
      <rPr>
        <sz val="11"/>
        <color theme="1"/>
        <rFont val="Tahoma"/>
        <family val="2"/>
        <charset val="222"/>
        <scheme val="minor"/>
      </rPr>
      <t xml:space="preserve"> =</t>
    </r>
  </si>
  <si>
    <t>H-model DDM</t>
  </si>
  <si>
    <t>Avg gr</t>
  </si>
  <si>
    <t xml:space="preserve">a) What is BJC’s fair value (intrinsic value) at end-12 based on 2-stage DDM model </t>
  </si>
  <si>
    <t xml:space="preserve">(ignore the dividend payment during 2H12 that will be paid in early 2013)? </t>
  </si>
  <si>
    <t>r =</t>
  </si>
  <si>
    <r>
      <t>Year</t>
    </r>
    <r>
      <rPr>
        <vertAlign val="subscript"/>
        <sz val="11"/>
        <color theme="1"/>
        <rFont val="Tahoma"/>
        <family val="2"/>
        <scheme val="minor"/>
      </rPr>
      <t>0</t>
    </r>
    <r>
      <rPr>
        <sz val="11"/>
        <color theme="1"/>
        <rFont val="Tahoma"/>
        <family val="2"/>
        <charset val="222"/>
        <scheme val="minor"/>
      </rPr>
      <t xml:space="preserve"> = 2012</t>
    </r>
  </si>
  <si>
    <r>
      <t>D</t>
    </r>
    <r>
      <rPr>
        <vertAlign val="subscript"/>
        <sz val="11"/>
        <color theme="1"/>
        <rFont val="Tahoma"/>
        <family val="2"/>
        <scheme val="minor"/>
      </rPr>
      <t>0</t>
    </r>
    <r>
      <rPr>
        <sz val="11"/>
        <color theme="1"/>
        <rFont val="Tahoma"/>
        <family val="2"/>
        <charset val="222"/>
        <scheme val="minor"/>
      </rPr>
      <t xml:space="preserve"> = 2012 DPS =</t>
    </r>
  </si>
  <si>
    <r>
      <t>g</t>
    </r>
    <r>
      <rPr>
        <vertAlign val="subscript"/>
        <sz val="11"/>
        <color theme="1"/>
        <rFont val="Tahoma"/>
        <family val="2"/>
        <scheme val="minor"/>
      </rPr>
      <t>s</t>
    </r>
    <r>
      <rPr>
        <sz val="11"/>
        <color theme="1"/>
        <rFont val="Tahoma"/>
        <family val="2"/>
        <charset val="222"/>
        <scheme val="minor"/>
      </rPr>
      <t xml:space="preserve"> =</t>
    </r>
  </si>
  <si>
    <r>
      <t>g</t>
    </r>
    <r>
      <rPr>
        <vertAlign val="subscript"/>
        <sz val="11"/>
        <color theme="1"/>
        <rFont val="Tahoma"/>
        <family val="2"/>
        <scheme val="minor"/>
      </rPr>
      <t>L</t>
    </r>
    <r>
      <rPr>
        <sz val="11"/>
        <color theme="1"/>
        <rFont val="Tahoma"/>
        <family val="2"/>
        <charset val="222"/>
        <scheme val="minor"/>
      </rPr>
      <t xml:space="preserve"> =</t>
    </r>
  </si>
  <si>
    <t>n =</t>
  </si>
  <si>
    <r>
      <t>P</t>
    </r>
    <r>
      <rPr>
        <vertAlign val="subscript"/>
        <sz val="11"/>
        <color theme="1"/>
        <rFont val="Tahoma"/>
        <family val="2"/>
        <scheme val="minor"/>
      </rPr>
      <t>0</t>
    </r>
    <r>
      <rPr>
        <sz val="11"/>
        <color theme="1"/>
        <rFont val="Tahoma"/>
        <family val="2"/>
        <charset val="222"/>
        <scheme val="minor"/>
      </rPr>
      <t xml:space="preserve"> =                                (</t>
    </r>
  </si>
  <si>
    <t>x</t>
  </si>
  <si>
    <r>
      <t>)+</t>
    </r>
    <r>
      <rPr>
        <sz val="10"/>
        <color theme="1"/>
        <rFont val="Tahoma"/>
        <family val="2"/>
        <scheme val="minor"/>
      </rPr>
      <t xml:space="preserve">          (</t>
    </r>
  </si>
  <si>
    <t>/</t>
  </si>
  <si>
    <t>)</t>
  </si>
  <si>
    <r>
      <t>P</t>
    </r>
    <r>
      <rPr>
        <vertAlign val="subscript"/>
        <sz val="11"/>
        <color theme="1"/>
        <rFont val="Tahoma"/>
        <family val="2"/>
        <scheme val="minor"/>
      </rPr>
      <t>0</t>
    </r>
    <r>
      <rPr>
        <sz val="11"/>
        <color theme="1"/>
        <rFont val="Tahoma"/>
        <family val="2"/>
        <charset val="222"/>
        <scheme val="minor"/>
      </rPr>
      <t xml:space="preserve"> =</t>
    </r>
  </si>
  <si>
    <t>+</t>
  </si>
  <si>
    <r>
      <t>P</t>
    </r>
    <r>
      <rPr>
        <b/>
        <vertAlign val="subscript"/>
        <sz val="11"/>
        <color theme="1"/>
        <rFont val="Tahoma"/>
        <family val="2"/>
        <scheme val="minor"/>
      </rPr>
      <t>0</t>
    </r>
    <r>
      <rPr>
        <b/>
        <sz val="11"/>
        <color theme="1"/>
        <rFont val="Tahoma"/>
        <family val="2"/>
        <scheme val="minor"/>
      </rPr>
      <t xml:space="preserve"> =</t>
    </r>
  </si>
  <si>
    <t xml:space="preserve">close 31 Jan= </t>
  </si>
  <si>
    <t>% upside</t>
  </si>
  <si>
    <t xml:space="preserve">b) What is BJC’s fair value (intrinsic value) at end-12 based on H-model DDM, which assume that BJC's growth will </t>
  </si>
  <si>
    <t>FV 13-end</t>
  </si>
  <si>
    <t>decline linearly from 22% in 2013 until it reaches the normal growth rate in 2021</t>
  </si>
  <si>
    <t>Capital gain</t>
  </si>
  <si>
    <t>Dividend yld</t>
  </si>
  <si>
    <t>Total return</t>
  </si>
  <si>
    <t>2H =</t>
  </si>
  <si>
    <t>H =</t>
  </si>
  <si>
    <r>
      <t>P</t>
    </r>
    <r>
      <rPr>
        <vertAlign val="subscript"/>
        <sz val="11"/>
        <rFont val="Tahoma"/>
        <family val="2"/>
        <charset val="222"/>
        <scheme val="minor"/>
      </rPr>
      <t>0</t>
    </r>
    <r>
      <rPr>
        <sz val="11"/>
        <rFont val="Tahoma"/>
        <family val="2"/>
        <charset val="222"/>
        <scheme val="minor"/>
      </rPr>
      <t xml:space="preserve"> =</t>
    </r>
  </si>
  <si>
    <r>
      <t>((0.83*(1+9.9%))/(12%-9.9%))+(.83*4*(</t>
    </r>
    <r>
      <rPr>
        <sz val="11"/>
        <color rgb="FFFF0000"/>
        <rFont val="Tahoma"/>
        <family val="2"/>
        <scheme val="minor"/>
      </rPr>
      <t>21%</t>
    </r>
    <r>
      <rPr>
        <sz val="11"/>
        <rFont val="Tahoma"/>
        <family val="2"/>
        <charset val="222"/>
        <scheme val="minor"/>
      </rPr>
      <t>-9.9%))/(12%-9.9%)</t>
    </r>
  </si>
  <si>
    <t>a)</t>
  </si>
  <si>
    <t>b)</t>
  </si>
  <si>
    <t>end-13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</si>
</sst>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0.0%"/>
    <numFmt numFmtId="188" formatCode="_-* #,##0.0_-;\-* #,##0.0_-;_-* &quot;-&quot;??_-;_-@_-"/>
    <numFmt numFmtId="189" formatCode="0.0"/>
  </numFmts>
  <fonts count="1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1"/>
      <color theme="3" tint="0.39997558519241921"/>
      <name val="Tahoma"/>
      <family val="2"/>
      <charset val="222"/>
      <scheme val="minor"/>
    </font>
    <font>
      <vertAlign val="subscript"/>
      <sz val="11"/>
      <color theme="1"/>
      <name val="Tahoma"/>
      <family val="2"/>
      <scheme val="minor"/>
    </font>
    <font>
      <sz val="10"/>
      <color theme="1"/>
      <name val="Tahoma"/>
      <family val="2"/>
      <scheme val="minor"/>
    </font>
    <font>
      <b/>
      <vertAlign val="subscript"/>
      <sz val="11"/>
      <color theme="1"/>
      <name val="Tahoma"/>
      <family val="2"/>
      <scheme val="minor"/>
    </font>
    <font>
      <b/>
      <sz val="11"/>
      <name val="Tahoma"/>
      <family val="2"/>
      <charset val="222"/>
      <scheme val="minor"/>
    </font>
    <font>
      <sz val="11"/>
      <name val="Tahoma"/>
      <family val="2"/>
      <charset val="222"/>
      <scheme val="minor"/>
    </font>
    <font>
      <sz val="11"/>
      <color rgb="FF00B050"/>
      <name val="Tahoma"/>
      <family val="2"/>
      <charset val="222"/>
      <scheme val="minor"/>
    </font>
    <font>
      <vertAlign val="subscript"/>
      <sz val="11"/>
      <name val="Tahoma"/>
      <family val="2"/>
      <charset val="222"/>
      <scheme val="minor"/>
    </font>
    <font>
      <sz val="11"/>
      <color rgb="FFFF0000"/>
      <name val="Tahoma"/>
      <family val="2"/>
      <scheme val="minor"/>
    </font>
    <font>
      <i/>
      <sz val="11"/>
      <color theme="0" tint="-0.499984740745262"/>
      <name val="Tahoma"/>
      <family val="2"/>
      <scheme val="minor"/>
    </font>
    <font>
      <b/>
      <sz val="11"/>
      <color rgb="FFFF000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187" fontId="0" fillId="0" borderId="0" xfId="0" applyNumberFormat="1"/>
    <xf numFmtId="2" fontId="0" fillId="0" borderId="0" xfId="0" applyNumberFormat="1"/>
    <xf numFmtId="43" fontId="0" fillId="0" borderId="0" xfId="1" applyFont="1"/>
    <xf numFmtId="187" fontId="4" fillId="0" borderId="0" xfId="2" applyNumberFormat="1" applyFont="1"/>
    <xf numFmtId="9" fontId="0" fillId="0" borderId="0" xfId="2" applyFont="1"/>
    <xf numFmtId="0" fontId="2" fillId="0" borderId="0" xfId="0" applyFont="1"/>
    <xf numFmtId="187" fontId="2" fillId="0" borderId="0" xfId="2" applyNumberFormat="1" applyFont="1"/>
    <xf numFmtId="0" fontId="0" fillId="0" borderId="0" xfId="0" applyAlignment="1">
      <alignment horizontal="left" indent="1"/>
    </xf>
    <xf numFmtId="187" fontId="0" fillId="0" borderId="0" xfId="2" applyNumberFormat="1" applyFont="1"/>
    <xf numFmtId="0" fontId="3" fillId="0" borderId="1" xfId="0" applyFont="1" applyBorder="1"/>
    <xf numFmtId="188" fontId="3" fillId="0" borderId="2" xfId="0" applyNumberFormat="1" applyFont="1" applyBorder="1"/>
    <xf numFmtId="189" fontId="0" fillId="0" borderId="0" xfId="0" applyNumberFormat="1"/>
    <xf numFmtId="0" fontId="2" fillId="0" borderId="0" xfId="0" applyFont="1" applyAlignment="1">
      <alignment horizontal="right"/>
    </xf>
    <xf numFmtId="10" fontId="2" fillId="0" borderId="0" xfId="0" applyNumberFormat="1" applyFont="1"/>
    <xf numFmtId="10" fontId="0" fillId="0" borderId="0" xfId="2" applyNumberFormat="1" applyFont="1"/>
    <xf numFmtId="0" fontId="0" fillId="0" borderId="3" xfId="0" applyBorder="1"/>
    <xf numFmtId="2" fontId="0" fillId="0" borderId="0" xfId="0" applyNumberFormat="1" applyFill="1"/>
    <xf numFmtId="0" fontId="0" fillId="0" borderId="0" xfId="0" applyFill="1"/>
    <xf numFmtId="43" fontId="0" fillId="0" borderId="0" xfId="1" applyNumberFormat="1" applyFont="1" applyFill="1"/>
    <xf numFmtId="0" fontId="0" fillId="0" borderId="0" xfId="0" quotePrefix="1" applyFill="1"/>
    <xf numFmtId="188" fontId="0" fillId="0" borderId="0" xfId="1" applyNumberFormat="1" applyFont="1"/>
    <xf numFmtId="43" fontId="0" fillId="0" borderId="0" xfId="0" applyNumberFormat="1"/>
    <xf numFmtId="188" fontId="3" fillId="0" borderId="2" xfId="1" applyNumberFormat="1" applyFont="1" applyBorder="1"/>
    <xf numFmtId="0" fontId="8" fillId="0" borderId="0" xfId="0" applyFont="1"/>
    <xf numFmtId="0" fontId="9" fillId="0" borderId="0" xfId="0" applyFont="1"/>
    <xf numFmtId="0" fontId="10" fillId="0" borderId="0" xfId="0" applyFont="1"/>
    <xf numFmtId="187" fontId="10" fillId="0" borderId="0" xfId="2" applyNumberFormat="1" applyFont="1"/>
    <xf numFmtId="187" fontId="10" fillId="0" borderId="0" xfId="0" applyNumberFormat="1" applyFont="1"/>
    <xf numFmtId="187" fontId="9" fillId="0" borderId="0" xfId="2" applyNumberFormat="1" applyFont="1"/>
    <xf numFmtId="189" fontId="9" fillId="0" borderId="0" xfId="0" applyNumberFormat="1" applyFont="1"/>
    <xf numFmtId="188" fontId="13" fillId="0" borderId="0" xfId="1" applyNumberFormat="1" applyFont="1"/>
    <xf numFmtId="0" fontId="3" fillId="0" borderId="0" xfId="0" applyFont="1" applyAlignment="1">
      <alignment horizontal="right"/>
    </xf>
    <xf numFmtId="0" fontId="14" fillId="0" borderId="0" xfId="0" applyFont="1" applyAlignment="1">
      <alignment horizontal="right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15</xdr:row>
      <xdr:rowOff>66676</xdr:rowOff>
    </xdr:from>
    <xdr:to>
      <xdr:col>3</xdr:col>
      <xdr:colOff>438150</xdr:colOff>
      <xdr:row>18</xdr:row>
      <xdr:rowOff>160997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0550" y="2838451"/>
          <a:ext cx="4181475" cy="63724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33</xdr:row>
      <xdr:rowOff>85726</xdr:rowOff>
    </xdr:from>
    <xdr:to>
      <xdr:col>2</xdr:col>
      <xdr:colOff>141488</xdr:colOff>
      <xdr:row>37</xdr:row>
      <xdr:rowOff>66676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04825" y="6448426"/>
          <a:ext cx="2017913" cy="7048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3"/>
  <sheetViews>
    <sheetView tabSelected="1" workbookViewId="0">
      <selection activeCell="C14" sqref="C14"/>
    </sheetView>
  </sheetViews>
  <sheetFormatPr defaultRowHeight="14.25" x14ac:dyDescent="0.2"/>
  <cols>
    <col min="1" max="1" width="5.625" customWidth="1"/>
    <col min="2" max="2" width="25.625" customWidth="1"/>
    <col min="12" max="12" width="4.625" customWidth="1"/>
    <col min="13" max="13" width="11.625" customWidth="1"/>
  </cols>
  <sheetData>
    <row r="1" spans="1:23" x14ac:dyDescent="0.2">
      <c r="A1" s="1"/>
      <c r="B1" s="1"/>
      <c r="M1" t="s">
        <v>0</v>
      </c>
      <c r="N1" s="2">
        <f>+C20</f>
        <v>0.12</v>
      </c>
    </row>
    <row r="2" spans="1:23" x14ac:dyDescent="0.2">
      <c r="A2" s="1" t="s">
        <v>1</v>
      </c>
      <c r="B2" s="1" t="s">
        <v>2</v>
      </c>
      <c r="L2" s="33" t="s">
        <v>50</v>
      </c>
      <c r="M2" s="1" t="s">
        <v>3</v>
      </c>
    </row>
    <row r="3" spans="1:23" x14ac:dyDescent="0.2">
      <c r="J3" t="s">
        <v>4</v>
      </c>
      <c r="L3" s="33"/>
      <c r="N3">
        <v>0</v>
      </c>
      <c r="O3">
        <v>1</v>
      </c>
      <c r="P3">
        <f>+O3+1</f>
        <v>2</v>
      </c>
      <c r="Q3">
        <f t="shared" ref="Q3:W3" si="0">+P3+1</f>
        <v>3</v>
      </c>
      <c r="R3">
        <f t="shared" si="0"/>
        <v>4</v>
      </c>
      <c r="S3">
        <f t="shared" si="0"/>
        <v>5</v>
      </c>
      <c r="T3">
        <f t="shared" si="0"/>
        <v>6</v>
      </c>
      <c r="U3">
        <f t="shared" si="0"/>
        <v>7</v>
      </c>
      <c r="V3">
        <f t="shared" si="0"/>
        <v>8</v>
      </c>
      <c r="W3">
        <f t="shared" si="0"/>
        <v>9</v>
      </c>
    </row>
    <row r="4" spans="1:23" x14ac:dyDescent="0.2">
      <c r="B4" t="s">
        <v>5</v>
      </c>
      <c r="C4">
        <v>1.61</v>
      </c>
      <c r="H4" t="s">
        <v>4</v>
      </c>
      <c r="M4" t="s">
        <v>4</v>
      </c>
      <c r="N4">
        <v>2012</v>
      </c>
      <c r="O4" s="1">
        <f>+N4+1</f>
        <v>2013</v>
      </c>
      <c r="P4" s="1">
        <f t="shared" ref="P4:W4" si="1">+O4+1</f>
        <v>2014</v>
      </c>
      <c r="Q4" s="1">
        <f t="shared" si="1"/>
        <v>2015</v>
      </c>
      <c r="R4" s="1">
        <f t="shared" si="1"/>
        <v>2016</v>
      </c>
      <c r="S4" s="1">
        <f t="shared" si="1"/>
        <v>2017</v>
      </c>
      <c r="T4" s="1">
        <f t="shared" si="1"/>
        <v>2018</v>
      </c>
      <c r="U4" s="1">
        <f t="shared" si="1"/>
        <v>2019</v>
      </c>
      <c r="V4" s="1">
        <f t="shared" si="1"/>
        <v>2020</v>
      </c>
      <c r="W4">
        <f t="shared" si="1"/>
        <v>2021</v>
      </c>
    </row>
    <row r="5" spans="1:23" x14ac:dyDescent="0.2">
      <c r="B5" t="s">
        <v>6</v>
      </c>
      <c r="C5">
        <v>0.83</v>
      </c>
      <c r="H5" s="3" t="s">
        <v>4</v>
      </c>
      <c r="M5" t="s">
        <v>7</v>
      </c>
      <c r="N5">
        <f>+C5</f>
        <v>0.83</v>
      </c>
      <c r="O5" s="4">
        <f>+N5*(1+O6)</f>
        <v>0.9544999999999999</v>
      </c>
      <c r="P5" s="4">
        <f>+O5*(1+P6)</f>
        <v>1.0976749999999997</v>
      </c>
      <c r="Q5" s="4">
        <f t="shared" ref="Q5:W5" si="2">+P5*(1+Q6)</f>
        <v>1.2623262499999996</v>
      </c>
      <c r="R5" s="4">
        <f t="shared" si="2"/>
        <v>1.4516751874999996</v>
      </c>
      <c r="S5" s="4">
        <f t="shared" si="2"/>
        <v>1.6694264656249993</v>
      </c>
      <c r="T5" s="4">
        <f t="shared" si="2"/>
        <v>1.9198404354687491</v>
      </c>
      <c r="U5" s="4">
        <f t="shared" si="2"/>
        <v>2.2078165007890611</v>
      </c>
      <c r="V5" s="4">
        <f t="shared" si="2"/>
        <v>2.53898897590742</v>
      </c>
      <c r="W5" s="4">
        <f t="shared" si="2"/>
        <v>2.7903488845222544</v>
      </c>
    </row>
    <row r="6" spans="1:23" x14ac:dyDescent="0.2">
      <c r="B6" t="s">
        <v>8</v>
      </c>
      <c r="C6" s="5">
        <f>+C5/C4</f>
        <v>0.51552795031055898</v>
      </c>
      <c r="M6" t="s">
        <v>9</v>
      </c>
      <c r="O6" s="6">
        <v>0.15</v>
      </c>
      <c r="P6" s="6">
        <v>0.15</v>
      </c>
      <c r="Q6" s="6">
        <v>0.15</v>
      </c>
      <c r="R6" s="6">
        <v>0.15</v>
      </c>
      <c r="S6" s="6">
        <v>0.15</v>
      </c>
      <c r="T6" s="6">
        <v>0.15</v>
      </c>
      <c r="U6" s="6">
        <v>0.15</v>
      </c>
      <c r="V6" s="6">
        <v>0.15</v>
      </c>
      <c r="W6" s="2">
        <f>+C8</f>
        <v>9.8999999999999991E-2</v>
      </c>
    </row>
    <row r="7" spans="1:23" x14ac:dyDescent="0.2">
      <c r="B7" s="7" t="s">
        <v>10</v>
      </c>
      <c r="C7" s="8">
        <v>0.15</v>
      </c>
      <c r="M7" t="s">
        <v>11</v>
      </c>
      <c r="O7" s="4">
        <f>+O5/(1+$N$1)^O3</f>
        <v>0.85223214285714266</v>
      </c>
      <c r="P7" s="4">
        <f t="shared" ref="P7:V7" si="3">+P5/(1+$N$1)^P3</f>
        <v>0.87505978954081598</v>
      </c>
      <c r="Q7" s="4">
        <f t="shared" si="3"/>
        <v>0.89849889104637337</v>
      </c>
      <c r="R7" s="4">
        <f t="shared" si="3"/>
        <v>0.92256582562797274</v>
      </c>
      <c r="S7" s="4">
        <f t="shared" si="3"/>
        <v>0.94727741024300749</v>
      </c>
      <c r="T7" s="4">
        <f t="shared" si="3"/>
        <v>0.97265091230308787</v>
      </c>
      <c r="U7" s="4">
        <f t="shared" si="3"/>
        <v>0.99870406173977755</v>
      </c>
      <c r="V7" s="4">
        <f t="shared" si="3"/>
        <v>1.0254550633935215</v>
      </c>
      <c r="W7" s="4"/>
    </row>
    <row r="8" spans="1:23" x14ac:dyDescent="0.2">
      <c r="B8" t="s">
        <v>12</v>
      </c>
      <c r="C8" s="5">
        <f>+C9*C11</f>
        <v>9.8999999999999991E-2</v>
      </c>
      <c r="M8" t="s">
        <v>13</v>
      </c>
      <c r="V8" s="4">
        <f>+W5/(N1-W6)</f>
        <v>132.87375640582161</v>
      </c>
    </row>
    <row r="9" spans="1:23" ht="15" thickBot="1" x14ac:dyDescent="0.25">
      <c r="B9" s="9" t="s">
        <v>14</v>
      </c>
      <c r="C9" s="10">
        <v>0.22</v>
      </c>
      <c r="M9" t="s">
        <v>15</v>
      </c>
      <c r="V9" s="4">
        <f>+V8/(1+N1)^V3</f>
        <v>53.66548165092761</v>
      </c>
    </row>
    <row r="10" spans="1:23" ht="15" thickBot="1" x14ac:dyDescent="0.25">
      <c r="B10" s="9" t="s">
        <v>16</v>
      </c>
      <c r="C10" s="10">
        <v>0.55000000000000004</v>
      </c>
      <c r="M10" s="11" t="s">
        <v>17</v>
      </c>
      <c r="N10" s="12">
        <f>+SUM(O7:V7)+V9</f>
        <v>61.157925747679307</v>
      </c>
    </row>
    <row r="11" spans="1:23" x14ac:dyDescent="0.2">
      <c r="B11" s="9" t="s">
        <v>18</v>
      </c>
      <c r="C11" s="10">
        <f>1-C10</f>
        <v>0.44999999999999996</v>
      </c>
      <c r="H11" s="13" t="s">
        <v>4</v>
      </c>
    </row>
    <row r="12" spans="1:23" ht="17.25" x14ac:dyDescent="0.3">
      <c r="B12" t="s">
        <v>19</v>
      </c>
      <c r="C12" s="2">
        <v>0.12</v>
      </c>
      <c r="L12" s="33" t="s">
        <v>51</v>
      </c>
      <c r="M12" s="1" t="s">
        <v>20</v>
      </c>
      <c r="U12" s="14" t="s">
        <v>21</v>
      </c>
      <c r="V12" s="15">
        <f>+AVERAGE(O16:V16)</f>
        <v>0.15049999999999997</v>
      </c>
    </row>
    <row r="13" spans="1:23" x14ac:dyDescent="0.2">
      <c r="N13">
        <v>0</v>
      </c>
      <c r="O13">
        <v>1</v>
      </c>
      <c r="P13">
        <f>+O13+1</f>
        <v>2</v>
      </c>
      <c r="Q13">
        <f t="shared" ref="Q13:W13" si="4">+P13+1</f>
        <v>3</v>
      </c>
      <c r="R13">
        <f t="shared" si="4"/>
        <v>4</v>
      </c>
      <c r="S13">
        <f t="shared" si="4"/>
        <v>5</v>
      </c>
      <c r="T13">
        <f t="shared" si="4"/>
        <v>6</v>
      </c>
      <c r="U13">
        <f t="shared" si="4"/>
        <v>7</v>
      </c>
      <c r="V13">
        <f t="shared" si="4"/>
        <v>8</v>
      </c>
      <c r="W13">
        <f t="shared" si="4"/>
        <v>9</v>
      </c>
    </row>
    <row r="14" spans="1:23" x14ac:dyDescent="0.2">
      <c r="B14" s="1" t="s">
        <v>22</v>
      </c>
      <c r="M14" t="s">
        <v>4</v>
      </c>
      <c r="N14">
        <v>2012</v>
      </c>
      <c r="O14" s="1">
        <f>+N14+1</f>
        <v>2013</v>
      </c>
      <c r="P14" s="1">
        <f t="shared" ref="P14:W14" si="5">+O14+1</f>
        <v>2014</v>
      </c>
      <c r="Q14" s="1">
        <f t="shared" si="5"/>
        <v>2015</v>
      </c>
      <c r="R14" s="1">
        <f t="shared" si="5"/>
        <v>2016</v>
      </c>
      <c r="S14" s="1">
        <f t="shared" si="5"/>
        <v>2017</v>
      </c>
      <c r="T14" s="1">
        <f t="shared" si="5"/>
        <v>2018</v>
      </c>
      <c r="U14" s="1">
        <f t="shared" si="5"/>
        <v>2019</v>
      </c>
      <c r="V14" s="1">
        <f t="shared" si="5"/>
        <v>2020</v>
      </c>
      <c r="W14">
        <f t="shared" si="5"/>
        <v>2021</v>
      </c>
    </row>
    <row r="15" spans="1:23" x14ac:dyDescent="0.2">
      <c r="B15" s="1" t="s">
        <v>23</v>
      </c>
      <c r="M15" t="s">
        <v>7</v>
      </c>
      <c r="N15">
        <f>+N5</f>
        <v>0.83</v>
      </c>
      <c r="O15" s="4">
        <f>+N15*(1+O16)</f>
        <v>1.0043</v>
      </c>
      <c r="P15" s="4">
        <f>+O15*(1+P16)</f>
        <v>1.1981299000000001</v>
      </c>
      <c r="Q15" s="4">
        <f t="shared" ref="Q15:W15" si="6">+P15*(1+Q16)</f>
        <v>1.4090007624000001</v>
      </c>
      <c r="R15" s="4">
        <f t="shared" si="6"/>
        <v>1.6330318836216</v>
      </c>
      <c r="S15" s="4">
        <f t="shared" si="6"/>
        <v>1.8649224110958671</v>
      </c>
      <c r="T15" s="4">
        <f t="shared" si="6"/>
        <v>2.0980377124828506</v>
      </c>
      <c r="U15" s="4">
        <f t="shared" si="6"/>
        <v>2.3246257854309982</v>
      </c>
      <c r="V15" s="4">
        <f t="shared" si="6"/>
        <v>2.5361667319052188</v>
      </c>
      <c r="W15" s="4">
        <f t="shared" si="6"/>
        <v>2.7872472383638356</v>
      </c>
    </row>
    <row r="16" spans="1:23" x14ac:dyDescent="0.2">
      <c r="M16" t="s">
        <v>9</v>
      </c>
      <c r="O16" s="16">
        <v>0.21</v>
      </c>
      <c r="P16" s="16">
        <f>+O16-1.7%</f>
        <v>0.193</v>
      </c>
      <c r="Q16" s="16">
        <f t="shared" ref="Q16:V16" si="7">+P16-1.7%</f>
        <v>0.17599999999999999</v>
      </c>
      <c r="R16" s="16">
        <f t="shared" si="7"/>
        <v>0.15899999999999997</v>
      </c>
      <c r="S16" s="16">
        <f t="shared" si="7"/>
        <v>0.14199999999999996</v>
      </c>
      <c r="T16" s="16">
        <f t="shared" si="7"/>
        <v>0.12499999999999996</v>
      </c>
      <c r="U16" s="16">
        <f t="shared" si="7"/>
        <v>0.10799999999999996</v>
      </c>
      <c r="V16" s="16">
        <f t="shared" si="7"/>
        <v>9.0999999999999956E-2</v>
      </c>
      <c r="W16" s="2">
        <f>+W6</f>
        <v>9.8999999999999991E-2</v>
      </c>
    </row>
    <row r="17" spans="2:23" x14ac:dyDescent="0.2">
      <c r="M17" t="s">
        <v>11</v>
      </c>
      <c r="O17" s="4">
        <f>+O15/(1+$N$1)^O13</f>
        <v>0.89669642857142851</v>
      </c>
      <c r="P17" s="4">
        <f t="shared" ref="P17:V17" si="8">+P15/(1+$N$1)^P13</f>
        <v>0.95514182079081622</v>
      </c>
      <c r="Q17" s="4">
        <f t="shared" si="8"/>
        <v>1.0028989118303568</v>
      </c>
      <c r="R17" s="4">
        <f t="shared" si="8"/>
        <v>1.037821284653021</v>
      </c>
      <c r="S17" s="4">
        <f t="shared" si="8"/>
        <v>1.0582070598872768</v>
      </c>
      <c r="T17" s="4">
        <f t="shared" si="8"/>
        <v>1.0629311985474879</v>
      </c>
      <c r="U17" s="4">
        <f t="shared" si="8"/>
        <v>1.0515426499916216</v>
      </c>
      <c r="V17" s="4">
        <f t="shared" si="8"/>
        <v>1.024315206375767</v>
      </c>
      <c r="W17" s="4"/>
    </row>
    <row r="18" spans="2:23" x14ac:dyDescent="0.2">
      <c r="M18" t="s">
        <v>13</v>
      </c>
      <c r="V18" s="4">
        <f>+W15/(N1-W16)</f>
        <v>132.72605896970643</v>
      </c>
    </row>
    <row r="19" spans="2:23" ht="15" thickBot="1" x14ac:dyDescent="0.25">
      <c r="M19" t="s">
        <v>15</v>
      </c>
      <c r="V19" s="4">
        <f>+V18/(1+N1)^V13</f>
        <v>53.605829133665132</v>
      </c>
    </row>
    <row r="20" spans="2:23" ht="15" customHeight="1" thickBot="1" x14ac:dyDescent="0.25">
      <c r="B20" t="s">
        <v>24</v>
      </c>
      <c r="C20" s="10">
        <f>+C12</f>
        <v>0.12</v>
      </c>
      <c r="M20" s="11" t="s">
        <v>17</v>
      </c>
      <c r="N20" s="12">
        <f>+SUM(O17:V17)+V19</f>
        <v>61.695383694312909</v>
      </c>
    </row>
    <row r="21" spans="2:23" ht="17.25" x14ac:dyDescent="0.3">
      <c r="B21" t="s">
        <v>25</v>
      </c>
    </row>
    <row r="22" spans="2:23" ht="18" thickBot="1" x14ac:dyDescent="0.35">
      <c r="B22" t="s">
        <v>26</v>
      </c>
      <c r="C22">
        <f>+C5</f>
        <v>0.83</v>
      </c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</row>
    <row r="23" spans="2:23" ht="17.25" x14ac:dyDescent="0.3">
      <c r="B23" t="s">
        <v>27</v>
      </c>
      <c r="C23" s="6">
        <v>0.15</v>
      </c>
      <c r="M23" t="s">
        <v>0</v>
      </c>
      <c r="N23" s="2">
        <f>+N1</f>
        <v>0.12</v>
      </c>
    </row>
    <row r="24" spans="2:23" ht="17.25" x14ac:dyDescent="0.3">
      <c r="B24" t="s">
        <v>28</v>
      </c>
      <c r="C24" s="2">
        <f>+C8</f>
        <v>9.8999999999999991E-2</v>
      </c>
      <c r="L24" s="34" t="s">
        <v>50</v>
      </c>
      <c r="M24" s="1" t="s">
        <v>3</v>
      </c>
    </row>
    <row r="25" spans="2:23" x14ac:dyDescent="0.2">
      <c r="B25" t="s">
        <v>29</v>
      </c>
      <c r="C25">
        <v>8</v>
      </c>
      <c r="L25" s="34" t="s">
        <v>52</v>
      </c>
      <c r="N25">
        <v>0</v>
      </c>
      <c r="O25">
        <v>0</v>
      </c>
      <c r="P25">
        <f>+O25+1</f>
        <v>1</v>
      </c>
      <c r="Q25">
        <f t="shared" ref="Q25:W26" si="9">+P25+1</f>
        <v>2</v>
      </c>
      <c r="R25">
        <f t="shared" si="9"/>
        <v>3</v>
      </c>
      <c r="S25">
        <f t="shared" si="9"/>
        <v>4</v>
      </c>
      <c r="T25">
        <f t="shared" si="9"/>
        <v>5</v>
      </c>
      <c r="U25">
        <f t="shared" si="9"/>
        <v>6</v>
      </c>
      <c r="V25">
        <f t="shared" si="9"/>
        <v>7</v>
      </c>
      <c r="W25">
        <f t="shared" si="9"/>
        <v>8</v>
      </c>
    </row>
    <row r="26" spans="2:23" ht="17.25" x14ac:dyDescent="0.3">
      <c r="B26" t="s">
        <v>30</v>
      </c>
      <c r="C26" s="18">
        <f>+(0.83*1.15)/(12%-15%)</f>
        <v>-31.816666666666663</v>
      </c>
      <c r="D26" s="19" t="s">
        <v>31</v>
      </c>
      <c r="E26" s="18">
        <f>1-((1.15^8)/(1.12^8))</f>
        <v>-0.23548802818496561</v>
      </c>
      <c r="F26" s="19" t="s">
        <v>32</v>
      </c>
      <c r="G26" s="20">
        <f>0.83*(1.15^8)*1.099</f>
        <v>2.7903488845222544</v>
      </c>
      <c r="H26" s="21" t="s">
        <v>33</v>
      </c>
      <c r="I26" s="20">
        <f>+(1.12^8)*(12%-9.9%)</f>
        <v>5.1995226702191005E-2</v>
      </c>
      <c r="J26" s="19" t="s">
        <v>34</v>
      </c>
      <c r="M26" t="s">
        <v>4</v>
      </c>
      <c r="N26">
        <v>2012</v>
      </c>
      <c r="O26" s="1">
        <f>+N26+1</f>
        <v>2013</v>
      </c>
      <c r="P26" s="1">
        <f t="shared" ref="P26" si="10">+O26+1</f>
        <v>2014</v>
      </c>
      <c r="Q26" s="1">
        <f t="shared" si="9"/>
        <v>2015</v>
      </c>
      <c r="R26" s="1">
        <f t="shared" si="9"/>
        <v>2016</v>
      </c>
      <c r="S26" s="1">
        <f t="shared" si="9"/>
        <v>2017</v>
      </c>
      <c r="T26" s="1">
        <f t="shared" si="9"/>
        <v>2018</v>
      </c>
      <c r="U26" s="1">
        <f t="shared" si="9"/>
        <v>2019</v>
      </c>
      <c r="V26" s="1">
        <f t="shared" si="9"/>
        <v>2020</v>
      </c>
      <c r="W26">
        <f t="shared" si="9"/>
        <v>2021</v>
      </c>
    </row>
    <row r="27" spans="2:23" ht="18" thickBot="1" x14ac:dyDescent="0.35">
      <c r="B27" t="s">
        <v>35</v>
      </c>
      <c r="C27" s="22">
        <f>+C26*E26</f>
        <v>7.4924440967516555</v>
      </c>
      <c r="D27" t="s">
        <v>36</v>
      </c>
      <c r="E27" s="23">
        <f>+G26/I26</f>
        <v>53.665481650927646</v>
      </c>
      <c r="M27" t="s">
        <v>7</v>
      </c>
      <c r="N27">
        <f>+N5</f>
        <v>0.83</v>
      </c>
      <c r="O27" s="4">
        <f>+N27*(1+O28)</f>
        <v>0.9544999999999999</v>
      </c>
      <c r="P27" s="4">
        <f>+O27*(1+P28)</f>
        <v>1.0976749999999997</v>
      </c>
      <c r="Q27" s="4">
        <f t="shared" ref="Q27:W27" si="11">+P27*(1+Q28)</f>
        <v>1.2623262499999996</v>
      </c>
      <c r="R27" s="4">
        <f t="shared" si="11"/>
        <v>1.4516751874999996</v>
      </c>
      <c r="S27" s="4">
        <f t="shared" si="11"/>
        <v>1.6694264656249993</v>
      </c>
      <c r="T27" s="4">
        <f t="shared" si="11"/>
        <v>1.9198404354687491</v>
      </c>
      <c r="U27" s="4">
        <f t="shared" si="11"/>
        <v>2.2078165007890611</v>
      </c>
      <c r="V27" s="4">
        <f t="shared" si="11"/>
        <v>2.53898897590742</v>
      </c>
      <c r="W27" s="4">
        <f t="shared" si="11"/>
        <v>2.7903488845222544</v>
      </c>
    </row>
    <row r="28" spans="2:23" ht="18" thickBot="1" x14ac:dyDescent="0.35">
      <c r="B28" s="11" t="s">
        <v>37</v>
      </c>
      <c r="C28" s="24">
        <f>+C27+E27</f>
        <v>61.1579257476793</v>
      </c>
      <c r="E28" s="23"/>
      <c r="M28" t="s">
        <v>9</v>
      </c>
      <c r="O28" s="6">
        <v>0.15</v>
      </c>
      <c r="P28" s="6">
        <v>0.15</v>
      </c>
      <c r="Q28" s="6">
        <v>0.15</v>
      </c>
      <c r="R28" s="6">
        <v>0.15</v>
      </c>
      <c r="S28" s="6">
        <v>0.15</v>
      </c>
      <c r="T28" s="6">
        <v>0.15</v>
      </c>
      <c r="U28" s="6">
        <v>0.15</v>
      </c>
      <c r="V28" s="6">
        <v>0.15</v>
      </c>
      <c r="W28" s="2">
        <f>+W6</f>
        <v>9.8999999999999991E-2</v>
      </c>
    </row>
    <row r="29" spans="2:23" x14ac:dyDescent="0.2">
      <c r="B29" t="s">
        <v>38</v>
      </c>
      <c r="C29" s="22">
        <v>45.25</v>
      </c>
      <c r="D29" s="22" t="s">
        <v>4</v>
      </c>
      <c r="E29" s="22" t="s">
        <v>4</v>
      </c>
      <c r="F29" s="22" t="s">
        <v>4</v>
      </c>
      <c r="G29" s="22" t="s">
        <v>4</v>
      </c>
      <c r="H29" s="22" t="s">
        <v>4</v>
      </c>
      <c r="J29" s="22" t="s">
        <v>4</v>
      </c>
      <c r="K29" s="22"/>
      <c r="L29" s="22"/>
      <c r="M29" t="s">
        <v>11</v>
      </c>
      <c r="O29" s="4" t="s">
        <v>4</v>
      </c>
      <c r="P29" s="4">
        <f t="shared" ref="P29:V29" si="12">+P27/(1+$N$1)^P25</f>
        <v>0.98006696428571394</v>
      </c>
      <c r="Q29" s="4">
        <f t="shared" si="12"/>
        <v>1.0063187579719384</v>
      </c>
      <c r="R29" s="4">
        <f t="shared" si="12"/>
        <v>1.0332737247033295</v>
      </c>
      <c r="S29" s="4">
        <f t="shared" si="12"/>
        <v>1.0609506994721685</v>
      </c>
      <c r="T29" s="4">
        <f t="shared" si="12"/>
        <v>1.0893690217794585</v>
      </c>
      <c r="U29" s="4">
        <f t="shared" si="12"/>
        <v>1.118548549148551</v>
      </c>
      <c r="V29" s="4">
        <f t="shared" si="12"/>
        <v>1.1485096710007441</v>
      </c>
      <c r="W29" s="4"/>
    </row>
    <row r="30" spans="2:23" x14ac:dyDescent="0.2">
      <c r="B30" t="s">
        <v>39</v>
      </c>
      <c r="C30" s="10">
        <f>+C28/C29-1</f>
        <v>0.35155637011445973</v>
      </c>
      <c r="D30" s="22"/>
      <c r="E30" s="22"/>
      <c r="F30" s="22"/>
      <c r="G30" s="22"/>
      <c r="H30" s="22"/>
      <c r="J30" s="22"/>
      <c r="K30" s="22"/>
      <c r="L30" s="22"/>
      <c r="M30" t="s">
        <v>13</v>
      </c>
      <c r="V30" s="4">
        <f>+W27/(N23-W28)</f>
        <v>132.87375640582161</v>
      </c>
    </row>
    <row r="31" spans="2:23" ht="15" thickBot="1" x14ac:dyDescent="0.25">
      <c r="M31" t="s">
        <v>15</v>
      </c>
      <c r="V31" s="4">
        <f>+V30/(1+N23)^V25</f>
        <v>60.105339449038922</v>
      </c>
    </row>
    <row r="32" spans="2:23" s="26" customFormat="1" ht="15" thickBot="1" x14ac:dyDescent="0.25">
      <c r="B32" s="25" t="s">
        <v>40</v>
      </c>
      <c r="M32" s="11" t="s">
        <v>41</v>
      </c>
      <c r="N32" s="12">
        <f>+SUM(O29:V29)+V31</f>
        <v>67.542376837400823</v>
      </c>
      <c r="O32"/>
      <c r="P32"/>
      <c r="Q32"/>
      <c r="R32"/>
      <c r="S32"/>
      <c r="T32"/>
      <c r="U32"/>
      <c r="V32"/>
      <c r="W32"/>
    </row>
    <row r="33" spans="2:14" s="26" customFormat="1" x14ac:dyDescent="0.2">
      <c r="B33" s="25" t="s">
        <v>42</v>
      </c>
      <c r="M33" s="27" t="s">
        <v>43</v>
      </c>
      <c r="N33" s="28">
        <f>+N32/N10-1</f>
        <v>0.10439286505664036</v>
      </c>
    </row>
    <row r="34" spans="2:14" s="26" customFormat="1" x14ac:dyDescent="0.2">
      <c r="M34" s="27" t="s">
        <v>44</v>
      </c>
      <c r="N34" s="28">
        <f>+O5/N10</f>
        <v>1.5607134943359639E-2</v>
      </c>
    </row>
    <row r="35" spans="2:14" s="26" customFormat="1" x14ac:dyDescent="0.2">
      <c r="M35" s="27" t="s">
        <v>45</v>
      </c>
      <c r="N35" s="29">
        <f>+N33+N34</f>
        <v>0.12</v>
      </c>
    </row>
    <row r="36" spans="2:14" s="26" customFormat="1" x14ac:dyDescent="0.2"/>
    <row r="37" spans="2:14" s="26" customFormat="1" x14ac:dyDescent="0.2"/>
    <row r="38" spans="2:14" s="26" customFormat="1" x14ac:dyDescent="0.2"/>
    <row r="39" spans="2:14" s="26" customFormat="1" x14ac:dyDescent="0.2">
      <c r="B39" s="26" t="str">
        <f>+B20</f>
        <v>r =</v>
      </c>
      <c r="C39" s="30">
        <f>+C20</f>
        <v>0.12</v>
      </c>
    </row>
    <row r="40" spans="2:14" s="26" customFormat="1" x14ac:dyDescent="0.2">
      <c r="B40" s="26" t="str">
        <f t="shared" ref="B40:B41" si="13">+B21</f>
        <v>Year0 = 2012</v>
      </c>
      <c r="C40" s="26" t="s">
        <v>4</v>
      </c>
    </row>
    <row r="41" spans="2:14" s="26" customFormat="1" x14ac:dyDescent="0.2">
      <c r="B41" s="26" t="str">
        <f t="shared" si="13"/>
        <v>D0 = 2012 DPS =</v>
      </c>
      <c r="C41" s="26">
        <f>+C22</f>
        <v>0.83</v>
      </c>
      <c r="F41" s="31" t="s">
        <v>4</v>
      </c>
    </row>
    <row r="42" spans="2:14" s="26" customFormat="1" x14ac:dyDescent="0.2">
      <c r="B42" s="26" t="str">
        <f>+B23</f>
        <v>gs =</v>
      </c>
      <c r="C42" s="30">
        <f>+C23</f>
        <v>0.15</v>
      </c>
    </row>
    <row r="43" spans="2:14" s="26" customFormat="1" x14ac:dyDescent="0.2">
      <c r="B43" s="26" t="str">
        <f t="shared" ref="B43" si="14">+B24</f>
        <v>gL =</v>
      </c>
      <c r="C43" s="30">
        <f>+C24</f>
        <v>9.8999999999999991E-2</v>
      </c>
    </row>
    <row r="44" spans="2:14" s="26" customFormat="1" x14ac:dyDescent="0.2">
      <c r="B44" s="26" t="s">
        <v>46</v>
      </c>
      <c r="C44" s="26">
        <v>8</v>
      </c>
    </row>
    <row r="45" spans="2:14" s="26" customFormat="1" x14ac:dyDescent="0.2">
      <c r="B45" s="26" t="s">
        <v>47</v>
      </c>
      <c r="C45" s="26">
        <f>+C44/2</f>
        <v>4</v>
      </c>
    </row>
    <row r="46" spans="2:14" s="26" customFormat="1" ht="18" thickBot="1" x14ac:dyDescent="0.35">
      <c r="B46" s="26" t="s">
        <v>48</v>
      </c>
      <c r="C46" s="26" t="s">
        <v>49</v>
      </c>
    </row>
    <row r="47" spans="2:14" s="26" customFormat="1" ht="18" thickBot="1" x14ac:dyDescent="0.35">
      <c r="B47" s="11" t="s">
        <v>48</v>
      </c>
      <c r="C47" s="24">
        <f>+((0.83*(1+9.9%))/(12%-9.9%))+(0.83*4*(21%-9.9%))/(12%-9.9%)</f>
        <v>60.985238095238117</v>
      </c>
    </row>
    <row r="48" spans="2:14" s="26" customFormat="1" x14ac:dyDescent="0.2">
      <c r="B48" t="s">
        <v>38</v>
      </c>
      <c r="C48" s="22">
        <v>45.25</v>
      </c>
    </row>
    <row r="49" spans="2:22" s="7" customFormat="1" x14ac:dyDescent="0.2">
      <c r="B49" t="s">
        <v>39</v>
      </c>
      <c r="C49" s="10">
        <f>+C47/C48-1</f>
        <v>0.34774006840305227</v>
      </c>
    </row>
    <row r="50" spans="2:22" x14ac:dyDescent="0.2">
      <c r="M50" s="7"/>
      <c r="N50" s="7"/>
      <c r="O50" s="7"/>
      <c r="P50" s="7"/>
      <c r="Q50" s="7"/>
      <c r="R50" s="7"/>
      <c r="S50" s="7"/>
      <c r="T50" s="7"/>
      <c r="U50" s="7"/>
      <c r="V50" s="7"/>
    </row>
    <row r="51" spans="2:22" x14ac:dyDescent="0.2">
      <c r="C51" s="32" t="s">
        <v>4</v>
      </c>
    </row>
    <row r="52" spans="2:22" x14ac:dyDescent="0.2">
      <c r="C52" s="32" t="s">
        <v>4</v>
      </c>
    </row>
    <row r="53" spans="2:22" x14ac:dyDescent="0.2">
      <c r="C53" s="32" t="s">
        <v>4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Manit</dc:creator>
  <cp:lastModifiedBy>Manit</cp:lastModifiedBy>
  <dcterms:created xsi:type="dcterms:W3CDTF">2014-02-18T06:49:13Z</dcterms:created>
  <dcterms:modified xsi:type="dcterms:W3CDTF">2014-02-18T06:52:55Z</dcterms:modified>
</cp:coreProperties>
</file>