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chayunt/Documents/EE451/ Worksheet/"/>
    </mc:Choice>
  </mc:AlternateContent>
  <bookViews>
    <workbookView xWindow="0" yWindow="460" windowWidth="25600" windowHeight="15460"/>
  </bookViews>
  <sheets>
    <sheet name="Basic Model" sheetId="3" r:id="rId1"/>
    <sheet name="Trade Equilibrium" sheetId="1" r:id="rId2"/>
    <sheet name="Explanation" sheetId="4" r:id="rId3"/>
    <sheet name="Questions" sheetId="2" r:id="rId4"/>
  </sheets>
  <definedNames>
    <definedName name="aF">'Trade Equilibrium'!$E$6</definedName>
    <definedName name="aH">'Trade Equilibrium'!$C$6</definedName>
    <definedName name="bF">'Trade Equilibrium'!$E$7</definedName>
    <definedName name="bH">'Trade Equilibrium'!$C$7</definedName>
    <definedName name="Excess_Y">'Trade Equilibrium'!$C$22</definedName>
    <definedName name="IFA">'Trade Equilibrium'!$AB$8</definedName>
    <definedName name="IFT">'Trade Equilibrium'!$AB$17</definedName>
    <definedName name="IHA">'Trade Equilibrium'!$W$8</definedName>
    <definedName name="IHT">'Trade Equilibrium'!$W$17</definedName>
    <definedName name="LF">'Trade Equilibrium'!$E$9</definedName>
    <definedName name="LH">'Trade Equilibrium'!$C$9</definedName>
    <definedName name="P1FA">'Trade Equilibrium'!$AB$6</definedName>
    <definedName name="P1FT">'Trade Equilibrium'!$AB$15</definedName>
    <definedName name="P1HT">'Trade Equilibrium'!$W$15</definedName>
    <definedName name="P2FA">'Trade Equilibrium'!$AB$7</definedName>
    <definedName name="P2FT">'Trade Equilibrium'!$AB$16</definedName>
    <definedName name="P2HT">'Trade Equilibrium'!$W$16</definedName>
    <definedName name="PFA">'Trade Equilibrium'!$AB$9</definedName>
    <definedName name="PHA">'Trade Equilibrium'!$W$9</definedName>
    <definedName name="PW">'Trade Equilibrium'!$D$12</definedName>
    <definedName name="PWE">'Trade Equilibrium'!$E$12</definedName>
    <definedName name="UAT">'Trade Equilibrium'!$Y$18</definedName>
    <definedName name="UFA">'Trade Equilibrium'!$AD$9</definedName>
    <definedName name="UFT">'Trade Equilibrium'!$AD$18</definedName>
    <definedName name="UHA">'Trade Equilibrium'!$Y$9</definedName>
    <definedName name="UHT">'Trade Equilibrium'!$Y$18</definedName>
    <definedName name="wFA">'Trade Equilibrium'!$AD$8</definedName>
    <definedName name="wFT">'Trade Equilibrium'!$AD$17</definedName>
    <definedName name="wHA">'Trade Equilibrium'!$Y$8</definedName>
    <definedName name="wHT">'Trade Equilibrium'!$Y$17</definedName>
    <definedName name="X1FA">'Trade Equilibrium'!$AD$6</definedName>
    <definedName name="X1FT">'Trade Equilibrium'!$AD$15</definedName>
    <definedName name="X1HA">'Trade Equilibrium'!$Y$6</definedName>
    <definedName name="X1HT">'Trade Equilibrium'!$Y$15</definedName>
    <definedName name="X2FA">'Trade Equilibrium'!$AD$7</definedName>
    <definedName name="X2FT">'Trade Equilibrium'!$AD$16</definedName>
    <definedName name="X2HA">'Trade Equilibrium'!$Y$7</definedName>
    <definedName name="X2HT">'Trade Equilibrium'!$Y$16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W8" i="3" l="1"/>
  <c r="B13" i="3"/>
  <c r="U17" i="3"/>
  <c r="B6" i="3"/>
  <c r="U8" i="3"/>
  <c r="W6" i="3"/>
  <c r="E6" i="3"/>
  <c r="U7" i="3"/>
  <c r="W7" i="3"/>
  <c r="U28" i="3"/>
  <c r="U9" i="3"/>
  <c r="W18" i="3"/>
  <c r="U18" i="3"/>
  <c r="W16" i="3"/>
  <c r="W17" i="3"/>
  <c r="U29" i="3"/>
  <c r="U27" i="3"/>
  <c r="U3" i="3"/>
  <c r="W9" i="3"/>
  <c r="Z3" i="3"/>
  <c r="W19" i="3"/>
  <c r="AA3" i="3"/>
  <c r="T4" i="3"/>
  <c r="Z4" i="3"/>
  <c r="AA4" i="3"/>
  <c r="Z5" i="3"/>
  <c r="AA5" i="3"/>
  <c r="Z6" i="3"/>
  <c r="AA6" i="3"/>
  <c r="Z7" i="3"/>
  <c r="AA7" i="3"/>
  <c r="Z8" i="3"/>
  <c r="AA8" i="3"/>
  <c r="Z9" i="3"/>
  <c r="AA9" i="3"/>
  <c r="Z10" i="3"/>
  <c r="AA10" i="3"/>
  <c r="F11" i="3"/>
  <c r="Z11" i="3"/>
  <c r="AA11" i="3"/>
  <c r="F12" i="3"/>
  <c r="U12" i="3"/>
  <c r="Z12" i="3"/>
  <c r="AA12" i="3"/>
  <c r="F13" i="3"/>
  <c r="T14" i="3"/>
  <c r="T13" i="3"/>
  <c r="U13" i="3"/>
  <c r="Z13" i="3"/>
  <c r="AA13" i="3"/>
  <c r="U14" i="3"/>
  <c r="Z14" i="3"/>
  <c r="AA14" i="3"/>
  <c r="Z15" i="3"/>
  <c r="AA15" i="3"/>
  <c r="B16" i="3"/>
  <c r="D16" i="3"/>
  <c r="E16" i="3"/>
  <c r="F16" i="3"/>
  <c r="Z16" i="3"/>
  <c r="AA16" i="3"/>
  <c r="B17" i="3"/>
  <c r="D17" i="3"/>
  <c r="E17" i="3"/>
  <c r="F17" i="3"/>
  <c r="Z17" i="3"/>
  <c r="AA17" i="3"/>
  <c r="B18" i="3"/>
  <c r="Z18" i="3"/>
  <c r="AA18" i="3"/>
  <c r="Z19" i="3"/>
  <c r="AA19" i="3"/>
  <c r="Z20" i="3"/>
  <c r="AA20" i="3"/>
  <c r="T21" i="3"/>
  <c r="U21" i="3"/>
  <c r="W21" i="3"/>
  <c r="Z21" i="3"/>
  <c r="AA21" i="3"/>
  <c r="T22" i="3"/>
  <c r="U22" i="3"/>
  <c r="D12" i="1"/>
  <c r="W7" i="1"/>
  <c r="W9" i="1"/>
  <c r="W16" i="1"/>
  <c r="Y17" i="1"/>
  <c r="W17" i="1"/>
  <c r="Y16" i="1"/>
  <c r="W22" i="3"/>
  <c r="Z22" i="3"/>
  <c r="AA22" i="3"/>
  <c r="T23" i="3"/>
  <c r="U23" i="3"/>
  <c r="Y15" i="1"/>
  <c r="W23" i="3"/>
  <c r="Z23" i="3"/>
  <c r="AA23" i="3"/>
  <c r="T24" i="3"/>
  <c r="U24" i="3"/>
  <c r="W24" i="3"/>
  <c r="Z24" i="3"/>
  <c r="AA24" i="3"/>
  <c r="Z25" i="3"/>
  <c r="AA25" i="3"/>
  <c r="Z26" i="3"/>
  <c r="AA26" i="3"/>
  <c r="Z27" i="3"/>
  <c r="AA27" i="3"/>
  <c r="Z28" i="3"/>
  <c r="AA28" i="3"/>
  <c r="Z29" i="3"/>
  <c r="AA29" i="3"/>
  <c r="Z30" i="3"/>
  <c r="AA30" i="3"/>
  <c r="Z31" i="3"/>
  <c r="AA31" i="3"/>
  <c r="Z32" i="3"/>
  <c r="AA32" i="3"/>
  <c r="Z33" i="3"/>
  <c r="AA33" i="3"/>
  <c r="Z34" i="3"/>
  <c r="AA34" i="3"/>
  <c r="Z35" i="3"/>
  <c r="AA35" i="3"/>
  <c r="Z36" i="3"/>
  <c r="AA36" i="3"/>
  <c r="Z37" i="3"/>
  <c r="AA37" i="3"/>
  <c r="Z38" i="3"/>
  <c r="AA38" i="3"/>
  <c r="Z39" i="3"/>
  <c r="AA39" i="3"/>
  <c r="Z40" i="3"/>
  <c r="AA40" i="3"/>
  <c r="Z41" i="3"/>
  <c r="AA41" i="3"/>
  <c r="Z42" i="3"/>
  <c r="AA42" i="3"/>
  <c r="Z43" i="3"/>
  <c r="AA43" i="3"/>
  <c r="Z44" i="3"/>
  <c r="AA44" i="3"/>
  <c r="Z45" i="3"/>
  <c r="AA45" i="3"/>
  <c r="Z46" i="3"/>
  <c r="AA46" i="3"/>
  <c r="Z47" i="3"/>
  <c r="AA47" i="3"/>
  <c r="Z48" i="3"/>
  <c r="AA48" i="3"/>
  <c r="Z49" i="3"/>
  <c r="AA49" i="3"/>
  <c r="Z50" i="3"/>
  <c r="AA50" i="3"/>
  <c r="Z51" i="3"/>
  <c r="AA51" i="3"/>
  <c r="Z52" i="3"/>
  <c r="AA52" i="3"/>
  <c r="Z53" i="3"/>
  <c r="AA53" i="3"/>
  <c r="Z54" i="3"/>
  <c r="AA54" i="3"/>
  <c r="Z55" i="3"/>
  <c r="AA55" i="3"/>
  <c r="Z56" i="3"/>
  <c r="AA56" i="3"/>
  <c r="Z57" i="3"/>
  <c r="AA57" i="3"/>
  <c r="Z58" i="3"/>
  <c r="AA58" i="3"/>
  <c r="Z59" i="3"/>
  <c r="AA59" i="3"/>
  <c r="Z60" i="3"/>
  <c r="AA60" i="3"/>
  <c r="Z61" i="3"/>
  <c r="AA61" i="3"/>
  <c r="Z62" i="3"/>
  <c r="AA62" i="3"/>
  <c r="Z63" i="3"/>
  <c r="AA63" i="3"/>
  <c r="Z64" i="3"/>
  <c r="AA64" i="3"/>
  <c r="Z65" i="3"/>
  <c r="AA65" i="3"/>
  <c r="Z66" i="3"/>
  <c r="AA66" i="3"/>
  <c r="Z67" i="3"/>
  <c r="AA67" i="3"/>
  <c r="Z68" i="3"/>
  <c r="AA68" i="3"/>
  <c r="Z69" i="3"/>
  <c r="AA69" i="3"/>
  <c r="Z70" i="3"/>
  <c r="AA70" i="3"/>
  <c r="Z71" i="3"/>
  <c r="AA71" i="3"/>
  <c r="Z72" i="3"/>
  <c r="AA72" i="3"/>
  <c r="Z73" i="3"/>
  <c r="AA73" i="3"/>
  <c r="Z74" i="3"/>
  <c r="AA74" i="3"/>
  <c r="Z75" i="3"/>
  <c r="AA75" i="3"/>
  <c r="Z76" i="3"/>
  <c r="AA76" i="3"/>
  <c r="Z77" i="3"/>
  <c r="AA77" i="3"/>
  <c r="Z78" i="3"/>
  <c r="AA78" i="3"/>
  <c r="Z79" i="3"/>
  <c r="AA79" i="3"/>
  <c r="Z80" i="3"/>
  <c r="AA80" i="3"/>
  <c r="Z81" i="3"/>
  <c r="AA81" i="3"/>
  <c r="Z82" i="3"/>
  <c r="AA82" i="3"/>
  <c r="W3" i="1"/>
  <c r="AB3" i="1"/>
  <c r="Y8" i="1"/>
  <c r="W8" i="1"/>
  <c r="Y6" i="1"/>
  <c r="Y7" i="1"/>
  <c r="Y9" i="1"/>
  <c r="AG3" i="1"/>
  <c r="Y18" i="1"/>
  <c r="AH3" i="1"/>
  <c r="AB7" i="1"/>
  <c r="AD8" i="1"/>
  <c r="AB8" i="1"/>
  <c r="AD6" i="1"/>
  <c r="AD7" i="1"/>
  <c r="AD9" i="1"/>
  <c r="AI3" i="1"/>
  <c r="AB9" i="1"/>
  <c r="AD17" i="1"/>
  <c r="AB17" i="1"/>
  <c r="AD15" i="1"/>
  <c r="AB16" i="1"/>
  <c r="AD16" i="1"/>
  <c r="AD18" i="1"/>
  <c r="AJ3" i="1"/>
  <c r="AK3" i="1"/>
  <c r="AR3" i="1"/>
  <c r="AS3" i="1"/>
  <c r="V4" i="1"/>
  <c r="AA4" i="1"/>
  <c r="AG4" i="1"/>
  <c r="AH4" i="1"/>
  <c r="AI4" i="1"/>
  <c r="AJ4" i="1"/>
  <c r="AK4" i="1"/>
  <c r="AN4" i="1"/>
  <c r="AO4" i="1"/>
  <c r="AQ4" i="1"/>
  <c r="AR4" i="1"/>
  <c r="AS4" i="1"/>
  <c r="AT4" i="1"/>
  <c r="AG5" i="1"/>
  <c r="AH5" i="1"/>
  <c r="AI5" i="1"/>
  <c r="AJ5" i="1"/>
  <c r="AK5" i="1"/>
  <c r="AG6" i="1"/>
  <c r="AH6" i="1"/>
  <c r="AI6" i="1"/>
  <c r="AJ6" i="1"/>
  <c r="AK6" i="1"/>
  <c r="AN6" i="1"/>
  <c r="AG7" i="1"/>
  <c r="AH7" i="1"/>
  <c r="AI7" i="1"/>
  <c r="AJ7" i="1"/>
  <c r="AK7" i="1"/>
  <c r="AN7" i="1"/>
  <c r="AO7" i="1"/>
  <c r="AG8" i="1"/>
  <c r="AH8" i="1"/>
  <c r="AI8" i="1"/>
  <c r="AJ8" i="1"/>
  <c r="AK8" i="1"/>
  <c r="AN8" i="1"/>
  <c r="AO8" i="1"/>
  <c r="AG9" i="1"/>
  <c r="AH9" i="1"/>
  <c r="AI9" i="1"/>
  <c r="AJ9" i="1"/>
  <c r="AK9" i="1"/>
  <c r="AN9" i="1"/>
  <c r="AO9" i="1"/>
  <c r="AG10" i="1"/>
  <c r="AH10" i="1"/>
  <c r="AI10" i="1"/>
  <c r="AJ10" i="1"/>
  <c r="AK10" i="1"/>
  <c r="AG11" i="1"/>
  <c r="AH11" i="1"/>
  <c r="AI11" i="1"/>
  <c r="AJ11" i="1"/>
  <c r="AK11" i="1"/>
  <c r="W12" i="1"/>
  <c r="AB12" i="1"/>
  <c r="AG12" i="1"/>
  <c r="AH12" i="1"/>
  <c r="AI12" i="1"/>
  <c r="AJ12" i="1"/>
  <c r="AK12" i="1"/>
  <c r="V13" i="1"/>
  <c r="W13" i="1"/>
  <c r="AA13" i="1"/>
  <c r="AG13" i="1"/>
  <c r="AH13" i="1"/>
  <c r="AI13" i="1"/>
  <c r="AJ13" i="1"/>
  <c r="AK13" i="1"/>
  <c r="AG14" i="1"/>
  <c r="AH14" i="1"/>
  <c r="AI14" i="1"/>
  <c r="AJ14" i="1"/>
  <c r="AK14" i="1"/>
  <c r="C15" i="1"/>
  <c r="E15" i="1"/>
  <c r="AG15" i="1"/>
  <c r="AH15" i="1"/>
  <c r="AI15" i="1"/>
  <c r="AJ15" i="1"/>
  <c r="AK15" i="1"/>
  <c r="C16" i="1"/>
  <c r="E16" i="1"/>
  <c r="AG16" i="1"/>
  <c r="AH16" i="1"/>
  <c r="AI16" i="1"/>
  <c r="AJ16" i="1"/>
  <c r="AK16" i="1"/>
  <c r="AG17" i="1"/>
  <c r="AH17" i="1"/>
  <c r="AI17" i="1"/>
  <c r="AJ17" i="1"/>
  <c r="AK17" i="1"/>
  <c r="C18" i="1"/>
  <c r="E18" i="1"/>
  <c r="AG18" i="1"/>
  <c r="AH18" i="1"/>
  <c r="AI18" i="1"/>
  <c r="AJ18" i="1"/>
  <c r="AK18" i="1"/>
  <c r="C19" i="1"/>
  <c r="E19" i="1"/>
  <c r="AG19" i="1"/>
  <c r="AH19" i="1"/>
  <c r="AI19" i="1"/>
  <c r="AJ19" i="1"/>
  <c r="AK19" i="1"/>
  <c r="C20" i="1"/>
  <c r="E20" i="1"/>
  <c r="V20" i="1"/>
  <c r="W20" i="1"/>
  <c r="Y20" i="1"/>
  <c r="AA20" i="1"/>
  <c r="AB20" i="1"/>
  <c r="AC20" i="1"/>
  <c r="AG20" i="1"/>
  <c r="AH20" i="1"/>
  <c r="AI20" i="1"/>
  <c r="AJ20" i="1"/>
  <c r="AK20" i="1"/>
  <c r="C21" i="1"/>
  <c r="E21" i="1"/>
  <c r="V21" i="1"/>
  <c r="W21" i="1"/>
  <c r="Y21" i="1"/>
  <c r="AA21" i="1"/>
  <c r="AB21" i="1"/>
  <c r="AC21" i="1"/>
  <c r="AD21" i="1"/>
  <c r="AG21" i="1"/>
  <c r="AH21" i="1"/>
  <c r="AI21" i="1"/>
  <c r="AJ21" i="1"/>
  <c r="AK21" i="1"/>
  <c r="C22" i="1"/>
  <c r="E22" i="1"/>
  <c r="V22" i="1"/>
  <c r="W22" i="1"/>
  <c r="X22" i="1"/>
  <c r="Y22" i="1"/>
  <c r="AA22" i="1"/>
  <c r="AB22" i="1"/>
  <c r="AC22" i="1"/>
  <c r="AG22" i="1"/>
  <c r="AH22" i="1"/>
  <c r="AI22" i="1"/>
  <c r="AJ22" i="1"/>
  <c r="AK22" i="1"/>
  <c r="V23" i="1"/>
  <c r="W23" i="1"/>
  <c r="Y23" i="1"/>
  <c r="AA23" i="1"/>
  <c r="AB23" i="1"/>
  <c r="AC23" i="1"/>
  <c r="AD23" i="1"/>
  <c r="AG23" i="1"/>
  <c r="AH23" i="1"/>
  <c r="AI23" i="1"/>
  <c r="AJ23" i="1"/>
  <c r="AK23" i="1"/>
  <c r="AG24" i="1"/>
  <c r="AH24" i="1"/>
  <c r="AI24" i="1"/>
  <c r="AJ24" i="1"/>
  <c r="AK24" i="1"/>
  <c r="AG25" i="1"/>
  <c r="AH25" i="1"/>
  <c r="AI25" i="1"/>
  <c r="AJ25" i="1"/>
  <c r="AK25" i="1"/>
  <c r="AG26" i="1"/>
  <c r="AH26" i="1"/>
  <c r="AI26" i="1"/>
  <c r="AJ26" i="1"/>
  <c r="AK26" i="1"/>
  <c r="AG27" i="1"/>
  <c r="AH27" i="1"/>
  <c r="AI27" i="1"/>
  <c r="AJ27" i="1"/>
  <c r="AK27" i="1"/>
  <c r="AG28" i="1"/>
  <c r="AH28" i="1"/>
  <c r="AI28" i="1"/>
  <c r="AJ28" i="1"/>
  <c r="AK28" i="1"/>
  <c r="AG29" i="1"/>
  <c r="AH29" i="1"/>
  <c r="AI29" i="1"/>
  <c r="AJ29" i="1"/>
  <c r="AK29" i="1"/>
  <c r="AG30" i="1"/>
  <c r="AH30" i="1"/>
  <c r="AI30" i="1"/>
  <c r="AJ30" i="1"/>
  <c r="AK30" i="1"/>
  <c r="AG31" i="1"/>
  <c r="AH31" i="1"/>
  <c r="AI31" i="1"/>
  <c r="AJ31" i="1"/>
  <c r="AK31" i="1"/>
  <c r="AG32" i="1"/>
  <c r="AH32" i="1"/>
  <c r="AI32" i="1"/>
  <c r="AJ32" i="1"/>
  <c r="AK32" i="1"/>
  <c r="AG33" i="1"/>
  <c r="AH33" i="1"/>
  <c r="AI33" i="1"/>
  <c r="AJ33" i="1"/>
  <c r="AK33" i="1"/>
  <c r="AG34" i="1"/>
  <c r="AH34" i="1"/>
  <c r="AI34" i="1"/>
  <c r="AJ34" i="1"/>
  <c r="AK34" i="1"/>
  <c r="AG35" i="1"/>
  <c r="AH35" i="1"/>
  <c r="AI35" i="1"/>
  <c r="AJ35" i="1"/>
  <c r="AK35" i="1"/>
  <c r="AG36" i="1"/>
  <c r="AH36" i="1"/>
  <c r="AI36" i="1"/>
  <c r="AJ36" i="1"/>
  <c r="AK36" i="1"/>
  <c r="AG37" i="1"/>
  <c r="AH37" i="1"/>
  <c r="AI37" i="1"/>
  <c r="AJ37" i="1"/>
  <c r="AK37" i="1"/>
  <c r="AG38" i="1"/>
  <c r="AH38" i="1"/>
  <c r="AI38" i="1"/>
  <c r="AJ38" i="1"/>
  <c r="AK38" i="1"/>
  <c r="AG39" i="1"/>
  <c r="AH39" i="1"/>
  <c r="AI39" i="1"/>
  <c r="AJ39" i="1"/>
  <c r="AK39" i="1"/>
  <c r="AG40" i="1"/>
  <c r="AH40" i="1"/>
  <c r="AI40" i="1"/>
  <c r="AJ40" i="1"/>
  <c r="AK40" i="1"/>
  <c r="AG41" i="1"/>
  <c r="AH41" i="1"/>
  <c r="AI41" i="1"/>
  <c r="AJ41" i="1"/>
  <c r="AK41" i="1"/>
  <c r="AG42" i="1"/>
  <c r="AH42" i="1"/>
  <c r="AI42" i="1"/>
  <c r="AJ42" i="1"/>
  <c r="AK42" i="1"/>
  <c r="AG43" i="1"/>
  <c r="AH43" i="1"/>
  <c r="AI43" i="1"/>
  <c r="AJ43" i="1"/>
  <c r="AK43" i="1"/>
  <c r="AG44" i="1"/>
  <c r="AH44" i="1"/>
  <c r="AI44" i="1"/>
  <c r="AJ44" i="1"/>
  <c r="AK44" i="1"/>
  <c r="AG45" i="1"/>
  <c r="AH45" i="1"/>
  <c r="AI45" i="1"/>
  <c r="AJ45" i="1"/>
  <c r="AK45" i="1"/>
  <c r="AG46" i="1"/>
  <c r="AH46" i="1"/>
  <c r="AI46" i="1"/>
  <c r="AJ46" i="1"/>
  <c r="AK46" i="1"/>
  <c r="AG47" i="1"/>
  <c r="AH47" i="1"/>
  <c r="AI47" i="1"/>
  <c r="AJ47" i="1"/>
  <c r="AK47" i="1"/>
  <c r="AG48" i="1"/>
  <c r="AH48" i="1"/>
  <c r="AI48" i="1"/>
  <c r="AJ48" i="1"/>
  <c r="AK48" i="1"/>
  <c r="AG49" i="1"/>
  <c r="AH49" i="1"/>
  <c r="AI49" i="1"/>
  <c r="AJ49" i="1"/>
  <c r="AK49" i="1"/>
  <c r="AG50" i="1"/>
  <c r="AH50" i="1"/>
  <c r="AI50" i="1"/>
  <c r="AJ50" i="1"/>
  <c r="AK50" i="1"/>
  <c r="AG51" i="1"/>
  <c r="AH51" i="1"/>
  <c r="AI51" i="1"/>
  <c r="AJ51" i="1"/>
  <c r="AK51" i="1"/>
  <c r="AG52" i="1"/>
  <c r="AH52" i="1"/>
  <c r="AI52" i="1"/>
  <c r="AJ52" i="1"/>
  <c r="AK52" i="1"/>
  <c r="AG53" i="1"/>
  <c r="AH53" i="1"/>
  <c r="AI53" i="1"/>
  <c r="AJ53" i="1"/>
  <c r="AK53" i="1"/>
  <c r="AG54" i="1"/>
  <c r="AH54" i="1"/>
  <c r="AI54" i="1"/>
  <c r="AJ54" i="1"/>
  <c r="AK54" i="1"/>
  <c r="AG55" i="1"/>
  <c r="AH55" i="1"/>
  <c r="AI55" i="1"/>
  <c r="AJ55" i="1"/>
  <c r="AK55" i="1"/>
  <c r="AG56" i="1"/>
  <c r="AH56" i="1"/>
  <c r="AI56" i="1"/>
  <c r="AJ56" i="1"/>
  <c r="AK56" i="1"/>
  <c r="AG57" i="1"/>
  <c r="AH57" i="1"/>
  <c r="AI57" i="1"/>
  <c r="AJ57" i="1"/>
  <c r="AK57" i="1"/>
  <c r="AG58" i="1"/>
  <c r="AH58" i="1"/>
  <c r="AI58" i="1"/>
  <c r="AJ58" i="1"/>
  <c r="AK58" i="1"/>
  <c r="AG59" i="1"/>
  <c r="AH59" i="1"/>
  <c r="AI59" i="1"/>
  <c r="AJ59" i="1"/>
  <c r="AK59" i="1"/>
  <c r="AG60" i="1"/>
  <c r="AH60" i="1"/>
  <c r="AI60" i="1"/>
  <c r="AJ60" i="1"/>
  <c r="AK60" i="1"/>
  <c r="AG61" i="1"/>
  <c r="AH61" i="1"/>
  <c r="AI61" i="1"/>
  <c r="AJ61" i="1"/>
  <c r="AK61" i="1"/>
  <c r="AG62" i="1"/>
  <c r="AH62" i="1"/>
  <c r="AI62" i="1"/>
  <c r="AJ62" i="1"/>
  <c r="AK62" i="1"/>
  <c r="AG63" i="1"/>
  <c r="AH63" i="1"/>
  <c r="AI63" i="1"/>
  <c r="AJ63" i="1"/>
  <c r="AK63" i="1"/>
  <c r="AG64" i="1"/>
  <c r="AH64" i="1"/>
  <c r="AI64" i="1"/>
  <c r="AJ64" i="1"/>
  <c r="AK64" i="1"/>
  <c r="AG65" i="1"/>
  <c r="AH65" i="1"/>
  <c r="AI65" i="1"/>
  <c r="AJ65" i="1"/>
  <c r="AK65" i="1"/>
  <c r="AG66" i="1"/>
  <c r="AH66" i="1"/>
  <c r="AI66" i="1"/>
  <c r="AJ66" i="1"/>
  <c r="AK66" i="1"/>
  <c r="AG67" i="1"/>
  <c r="AH67" i="1"/>
  <c r="AI67" i="1"/>
  <c r="AJ67" i="1"/>
  <c r="AK67" i="1"/>
  <c r="AG68" i="1"/>
  <c r="AH68" i="1"/>
  <c r="AI68" i="1"/>
  <c r="AJ68" i="1"/>
  <c r="AK68" i="1"/>
  <c r="AG69" i="1"/>
  <c r="AH69" i="1"/>
  <c r="AI69" i="1"/>
  <c r="AJ69" i="1"/>
  <c r="AK69" i="1"/>
  <c r="AG70" i="1"/>
  <c r="AH70" i="1"/>
  <c r="AI70" i="1"/>
  <c r="AJ70" i="1"/>
  <c r="AK70" i="1"/>
  <c r="AG71" i="1"/>
  <c r="AH71" i="1"/>
  <c r="AI71" i="1"/>
  <c r="AJ71" i="1"/>
  <c r="AK71" i="1"/>
  <c r="AG72" i="1"/>
  <c r="AH72" i="1"/>
  <c r="AI72" i="1"/>
  <c r="AJ72" i="1"/>
  <c r="AK72" i="1"/>
  <c r="AG73" i="1"/>
  <c r="AH73" i="1"/>
  <c r="AI73" i="1"/>
  <c r="AJ73" i="1"/>
  <c r="AK73" i="1"/>
  <c r="AG74" i="1"/>
  <c r="AH74" i="1"/>
  <c r="AI74" i="1"/>
  <c r="AJ74" i="1"/>
  <c r="AK74" i="1"/>
  <c r="AG75" i="1"/>
  <c r="AH75" i="1"/>
  <c r="AI75" i="1"/>
  <c r="AJ75" i="1"/>
  <c r="AK75" i="1"/>
  <c r="AG76" i="1"/>
  <c r="AH76" i="1"/>
  <c r="AI76" i="1"/>
  <c r="AJ76" i="1"/>
  <c r="AK76" i="1"/>
  <c r="AG77" i="1"/>
  <c r="AH77" i="1"/>
  <c r="AI77" i="1"/>
  <c r="AJ77" i="1"/>
  <c r="AK77" i="1"/>
  <c r="AG78" i="1"/>
  <c r="AH78" i="1"/>
  <c r="AI78" i="1"/>
  <c r="AJ78" i="1"/>
  <c r="AK78" i="1"/>
  <c r="AG79" i="1"/>
  <c r="AH79" i="1"/>
  <c r="AI79" i="1"/>
  <c r="AJ79" i="1"/>
  <c r="AK79" i="1"/>
  <c r="AG80" i="1"/>
  <c r="AH80" i="1"/>
  <c r="AI80" i="1"/>
  <c r="AJ80" i="1"/>
  <c r="AK80" i="1"/>
  <c r="AG81" i="1"/>
  <c r="AH81" i="1"/>
  <c r="AI81" i="1"/>
  <c r="AJ81" i="1"/>
  <c r="AK81" i="1"/>
  <c r="AG82" i="1"/>
  <c r="AH82" i="1"/>
  <c r="AI82" i="1"/>
  <c r="AJ82" i="1"/>
  <c r="AK82" i="1"/>
</calcChain>
</file>

<file path=xl/sharedStrings.xml><?xml version="1.0" encoding="utf-8"?>
<sst xmlns="http://schemas.openxmlformats.org/spreadsheetml/2006/main" count="195" uniqueCount="158">
  <si>
    <t>Bottom</t>
  </si>
  <si>
    <t>Top</t>
  </si>
  <si>
    <r>
      <t>X</t>
    </r>
    <r>
      <rPr>
        <vertAlign val="subscript"/>
        <sz val="14"/>
        <rFont val="AngsanaUPC"/>
        <family val="1"/>
      </rPr>
      <t>1H</t>
    </r>
  </si>
  <si>
    <r>
      <t>X</t>
    </r>
    <r>
      <rPr>
        <vertAlign val="subscript"/>
        <sz val="14"/>
        <rFont val="AngsanaUPC"/>
        <family val="1"/>
      </rPr>
      <t>2H</t>
    </r>
  </si>
  <si>
    <r>
      <t>PPC</t>
    </r>
    <r>
      <rPr>
        <vertAlign val="subscript"/>
        <sz val="14"/>
        <rFont val="AngsanaUPC"/>
        <family val="1"/>
      </rPr>
      <t>H</t>
    </r>
  </si>
  <si>
    <r>
      <t>IC</t>
    </r>
    <r>
      <rPr>
        <vertAlign val="subscript"/>
        <sz val="14"/>
        <rFont val="AngsanaUPC"/>
        <family val="1"/>
      </rPr>
      <t>HA</t>
    </r>
  </si>
  <si>
    <r>
      <t>U = X</t>
    </r>
    <r>
      <rPr>
        <vertAlign val="subscript"/>
        <sz val="14"/>
        <rFont val="AngsanaUPC"/>
        <family val="1"/>
      </rPr>
      <t>1</t>
    </r>
    <r>
      <rPr>
        <sz val="14"/>
        <rFont val="AngsanaUPC"/>
      </rPr>
      <t>X</t>
    </r>
    <r>
      <rPr>
        <vertAlign val="subscript"/>
        <sz val="14"/>
        <rFont val="AngsanaUPC"/>
        <family val="1"/>
      </rPr>
      <t>2</t>
    </r>
  </si>
  <si>
    <r>
      <t>X</t>
    </r>
    <r>
      <rPr>
        <vertAlign val="subscript"/>
        <sz val="14"/>
        <rFont val="AngsanaUPC"/>
        <family val="1"/>
      </rPr>
      <t>1HA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</si>
  <si>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2HA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</si>
  <si>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1HA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</si>
  <si>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2HA</t>
    </r>
    <r>
      <rPr>
        <sz val="14"/>
        <rFont val="AngsanaUPC"/>
      </rPr>
      <t xml:space="preserve">  =</t>
    </r>
  </si>
  <si>
    <r>
      <t>I</t>
    </r>
    <r>
      <rPr>
        <vertAlign val="subscript"/>
        <sz val="14"/>
        <rFont val="AngsanaUPC"/>
        <family val="1"/>
      </rPr>
      <t>HA</t>
    </r>
    <r>
      <rPr>
        <sz val="14"/>
        <rFont val="AngsanaUPC"/>
      </rPr>
      <t xml:space="preserve">  =</t>
    </r>
  </si>
  <si>
    <r>
      <t>w</t>
    </r>
    <r>
      <rPr>
        <vertAlign val="subscript"/>
        <sz val="14"/>
        <rFont val="AngsanaUPC"/>
        <family val="1"/>
      </rPr>
      <t>HA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</si>
  <si>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1</t>
    </r>
  </si>
  <si>
    <r>
      <t>X</t>
    </r>
    <r>
      <rPr>
        <vertAlign val="subscript"/>
        <sz val="14"/>
        <rFont val="AngsanaUPC"/>
        <family val="1"/>
      </rPr>
      <t>2</t>
    </r>
  </si>
  <si>
    <r>
      <t>X</t>
    </r>
    <r>
      <rPr>
        <vertAlign val="subscript"/>
        <sz val="14"/>
        <rFont val="AngsanaUPC"/>
        <family val="1"/>
      </rPr>
      <t>2HA</t>
    </r>
  </si>
  <si>
    <r>
      <t>X</t>
    </r>
    <r>
      <rPr>
        <vertAlign val="subscript"/>
        <sz val="14"/>
        <rFont val="AngsanaUPC"/>
        <family val="1"/>
      </rPr>
      <t>2HT</t>
    </r>
  </si>
  <si>
    <t>Unit labor requirements</t>
  </si>
  <si>
    <t>Labor endowments</t>
  </si>
  <si>
    <t>Home Budget line</t>
  </si>
  <si>
    <r>
      <t>P</t>
    </r>
    <r>
      <rPr>
        <vertAlign val="subscript"/>
        <sz val="14"/>
        <rFont val="AngsanaUPC"/>
        <family val="1"/>
      </rPr>
      <t>1HT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</si>
  <si>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2HT</t>
    </r>
    <r>
      <rPr>
        <sz val="14"/>
        <rFont val="AngsanaUPC"/>
      </rPr>
      <t xml:space="preserve">  =</t>
    </r>
  </si>
  <si>
    <r>
      <t>I</t>
    </r>
    <r>
      <rPr>
        <vertAlign val="subscript"/>
        <sz val="14"/>
        <rFont val="AngsanaUPC"/>
        <family val="1"/>
      </rPr>
      <t>HT</t>
    </r>
    <r>
      <rPr>
        <sz val="14"/>
        <rFont val="AngsanaUPC"/>
      </rPr>
      <t xml:space="preserve">  =</t>
    </r>
  </si>
  <si>
    <r>
      <t>w</t>
    </r>
    <r>
      <rPr>
        <vertAlign val="subscript"/>
        <sz val="14"/>
        <rFont val="AngsanaUPC"/>
        <family val="1"/>
      </rPr>
      <t>HT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</si>
  <si>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1HT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</si>
  <si>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2HT</t>
    </r>
    <r>
      <rPr>
        <sz val="14"/>
        <rFont val="AngsanaUPC"/>
      </rPr>
      <t xml:space="preserve">  =</t>
    </r>
  </si>
  <si>
    <r>
      <t>IC</t>
    </r>
    <r>
      <rPr>
        <vertAlign val="subscript"/>
        <sz val="14"/>
        <rFont val="AngsanaUPC"/>
        <family val="1"/>
      </rPr>
      <t>HT</t>
    </r>
  </si>
  <si>
    <t>Home Offer Curve</t>
  </si>
  <si>
    <t>World Price:</t>
  </si>
  <si>
    <t>Chayun Tantivasadakarn</t>
  </si>
  <si>
    <r>
      <t>PPC</t>
    </r>
    <r>
      <rPr>
        <vertAlign val="subscript"/>
        <sz val="14"/>
        <rFont val="AngsanaUPC"/>
        <family val="1"/>
      </rPr>
      <t>F</t>
    </r>
  </si>
  <si>
    <r>
      <t>X</t>
    </r>
    <r>
      <rPr>
        <vertAlign val="subscript"/>
        <sz val="14"/>
        <rFont val="AngsanaUPC"/>
        <family val="1"/>
      </rPr>
      <t>1F</t>
    </r>
  </si>
  <si>
    <r>
      <t>X</t>
    </r>
    <r>
      <rPr>
        <vertAlign val="subscript"/>
        <sz val="14"/>
        <rFont val="AngsanaUPC"/>
        <family val="1"/>
      </rPr>
      <t>2F</t>
    </r>
  </si>
  <si>
    <t>Home's Autarky solutions</t>
  </si>
  <si>
    <t>Foreign's Autarky solutions</t>
  </si>
  <si>
    <r>
      <t>P</t>
    </r>
    <r>
      <rPr>
        <vertAlign val="subscript"/>
        <sz val="14"/>
        <rFont val="AngsanaUPC"/>
        <family val="1"/>
      </rPr>
      <t>1FA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</si>
  <si>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2FA</t>
    </r>
    <r>
      <rPr>
        <sz val="14"/>
        <rFont val="AngsanaUPC"/>
      </rPr>
      <t xml:space="preserve">  =</t>
    </r>
  </si>
  <si>
    <r>
      <t>I</t>
    </r>
    <r>
      <rPr>
        <vertAlign val="subscript"/>
        <sz val="14"/>
        <rFont val="AngsanaUPC"/>
        <family val="1"/>
      </rPr>
      <t>FA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</si>
  <si>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FA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</si>
  <si>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HA</t>
    </r>
    <r>
      <rPr>
        <sz val="14"/>
        <rFont val="AngsanaUPC"/>
      </rPr>
      <t xml:space="preserve">  =</t>
    </r>
  </si>
  <si>
    <r>
      <t>U</t>
    </r>
    <r>
      <rPr>
        <vertAlign val="subscript"/>
        <sz val="14"/>
        <rFont val="AngsanaUPC"/>
        <family val="1"/>
      </rPr>
      <t>HA</t>
    </r>
    <r>
      <rPr>
        <sz val="14"/>
        <rFont val="AngsanaUPC"/>
      </rPr>
      <t xml:space="preserve"> =</t>
    </r>
  </si>
  <si>
    <r>
      <t>U</t>
    </r>
    <r>
      <rPr>
        <vertAlign val="subscript"/>
        <sz val="14"/>
        <rFont val="AngsanaUPC"/>
        <family val="1"/>
      </rPr>
      <t>FA</t>
    </r>
    <r>
      <rPr>
        <sz val="14"/>
        <rFont val="AngsanaUPC"/>
      </rPr>
      <t xml:space="preserve"> =</t>
    </r>
  </si>
  <si>
    <r>
      <t>X</t>
    </r>
    <r>
      <rPr>
        <vertAlign val="subscript"/>
        <sz val="14"/>
        <rFont val="AngsanaUPC"/>
        <family val="1"/>
      </rPr>
      <t>1FA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</si>
  <si>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2FA</t>
    </r>
    <r>
      <rPr>
        <sz val="14"/>
        <rFont val="AngsanaUPC"/>
      </rPr>
      <t xml:space="preserve">  =</t>
    </r>
  </si>
  <si>
    <r>
      <t>w</t>
    </r>
    <r>
      <rPr>
        <vertAlign val="subscript"/>
        <sz val="14"/>
        <rFont val="AngsanaUPC"/>
        <family val="1"/>
      </rPr>
      <t>FA</t>
    </r>
    <r>
      <rPr>
        <sz val="14"/>
        <rFont val="AngsanaUPC"/>
      </rPr>
      <t xml:space="preserve">  =</t>
    </r>
  </si>
  <si>
    <t>Foreign Budget line</t>
  </si>
  <si>
    <t>Home Trade Solutions</t>
  </si>
  <si>
    <t>Foreign Trade Solutions</t>
  </si>
  <si>
    <t>Foreign Offer Curve</t>
  </si>
  <si>
    <r>
      <t>P</t>
    </r>
    <r>
      <rPr>
        <vertAlign val="subscript"/>
        <sz val="14"/>
        <rFont val="AngsanaUPC"/>
        <family val="1"/>
      </rPr>
      <t>1FT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</si>
  <si>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2FT</t>
    </r>
    <r>
      <rPr>
        <sz val="14"/>
        <rFont val="AngsanaUPC"/>
      </rPr>
      <t xml:space="preserve">  =</t>
    </r>
  </si>
  <si>
    <r>
      <t>I</t>
    </r>
    <r>
      <rPr>
        <vertAlign val="subscript"/>
        <sz val="14"/>
        <rFont val="AngsanaUPC"/>
        <family val="1"/>
      </rPr>
      <t>FT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</si>
  <si>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1FT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</si>
  <si>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2FT</t>
    </r>
    <r>
      <rPr>
        <sz val="14"/>
        <rFont val="AngsanaUPC"/>
      </rPr>
      <t xml:space="preserve">  =</t>
    </r>
  </si>
  <si>
    <r>
      <t>w</t>
    </r>
    <r>
      <rPr>
        <vertAlign val="subscript"/>
        <sz val="14"/>
        <rFont val="AngsanaUPC"/>
        <family val="1"/>
      </rPr>
      <t>FT</t>
    </r>
    <r>
      <rPr>
        <sz val="14"/>
        <rFont val="AngsanaUPC"/>
      </rPr>
      <t xml:space="preserve">  =</t>
    </r>
  </si>
  <si>
    <r>
      <t>U</t>
    </r>
    <r>
      <rPr>
        <vertAlign val="subscript"/>
        <sz val="14"/>
        <rFont val="AngsanaUPC"/>
        <family val="1"/>
      </rPr>
      <t>HT</t>
    </r>
    <r>
      <rPr>
        <sz val="14"/>
        <rFont val="AngsanaUPC"/>
      </rPr>
      <t xml:space="preserve"> =</t>
    </r>
  </si>
  <si>
    <r>
      <t>U</t>
    </r>
    <r>
      <rPr>
        <vertAlign val="subscript"/>
        <sz val="14"/>
        <rFont val="AngsanaUPC"/>
        <family val="1"/>
      </rPr>
      <t>FT</t>
    </r>
    <r>
      <rPr>
        <sz val="14"/>
        <rFont val="AngsanaUPC"/>
      </rPr>
      <t xml:space="preserve"> =</t>
    </r>
  </si>
  <si>
    <r>
      <t>IC</t>
    </r>
    <r>
      <rPr>
        <vertAlign val="subscript"/>
        <sz val="14"/>
        <rFont val="AngsanaUPC"/>
        <family val="1"/>
      </rPr>
      <t>FA</t>
    </r>
  </si>
  <si>
    <r>
      <t>IC</t>
    </r>
    <r>
      <rPr>
        <vertAlign val="subscript"/>
        <sz val="14"/>
        <rFont val="AngsanaUPC"/>
        <family val="1"/>
      </rPr>
      <t>FT</t>
    </r>
  </si>
  <si>
    <r>
      <t>X</t>
    </r>
    <r>
      <rPr>
        <vertAlign val="subscript"/>
        <sz val="14"/>
        <rFont val="AngsanaUPC"/>
        <family val="1"/>
      </rPr>
      <t>2FA</t>
    </r>
  </si>
  <si>
    <r>
      <t>X</t>
    </r>
    <r>
      <rPr>
        <vertAlign val="subscript"/>
        <sz val="14"/>
        <rFont val="AngsanaUPC"/>
        <family val="1"/>
      </rPr>
      <t>2FT</t>
    </r>
  </si>
  <si>
    <t xml:space="preserve">EE 451 International Trade:  </t>
  </si>
  <si>
    <t>Home Trade Triagle</t>
  </si>
  <si>
    <t>Foreign Trade Triagle</t>
  </si>
  <si>
    <t>Autarky Consumption:</t>
  </si>
  <si>
    <t>Trade Equilibrium:</t>
  </si>
  <si>
    <t>X Import=</t>
  </si>
  <si>
    <t>Y Export=</t>
  </si>
  <si>
    <t>a*   =</t>
  </si>
  <si>
    <t>b*   =</t>
  </si>
  <si>
    <t>L*   =</t>
  </si>
  <si>
    <t>Y* Import=</t>
  </si>
  <si>
    <t>X* Export=</t>
  </si>
  <si>
    <r>
      <t>RPPC</t>
    </r>
    <r>
      <rPr>
        <vertAlign val="subscript"/>
        <sz val="14"/>
        <rFont val="AngsanaUPC"/>
        <family val="1"/>
      </rPr>
      <t>F</t>
    </r>
  </si>
  <si>
    <t>Y Axis</t>
  </si>
  <si>
    <t>X Axis</t>
  </si>
  <si>
    <t>RForeign Offer Curve</t>
  </si>
  <si>
    <r>
      <t>RX</t>
    </r>
    <r>
      <rPr>
        <vertAlign val="subscript"/>
        <sz val="14"/>
        <rFont val="AngsanaUPC"/>
        <family val="1"/>
      </rPr>
      <t>2FT</t>
    </r>
  </si>
  <si>
    <t>Excess Y =</t>
  </si>
  <si>
    <t>Excess X =</t>
  </si>
  <si>
    <t>Home:</t>
  </si>
  <si>
    <t>Foreign:</t>
  </si>
  <si>
    <t>Public good</t>
  </si>
  <si>
    <t>as shown below and click OK</t>
  </si>
  <si>
    <t>To solve for the equilibrium world price,</t>
  </si>
  <si>
    <t xml:space="preserve"> press Alt-T, then G and fill the Goal seek box</t>
  </si>
  <si>
    <t>Questions</t>
  </si>
  <si>
    <t>Basic Model</t>
  </si>
  <si>
    <t>Links:</t>
  </si>
  <si>
    <t>Trade Equilibrium</t>
  </si>
  <si>
    <t>Trade Equilibrium Model</t>
  </si>
  <si>
    <t>X</t>
  </si>
  <si>
    <t>Y</t>
  </si>
  <si>
    <r>
      <t>P</t>
    </r>
    <r>
      <rPr>
        <vertAlign val="subscript"/>
        <sz val="14"/>
        <rFont val="AngsanaUPC"/>
        <family val="1"/>
      </rPr>
      <t>A</t>
    </r>
    <r>
      <rPr>
        <sz val="14"/>
        <rFont val="AngsanaUPC"/>
      </rPr>
      <t xml:space="preserve">  =</t>
    </r>
  </si>
  <si>
    <r>
      <t>I</t>
    </r>
    <r>
      <rPr>
        <vertAlign val="subscript"/>
        <sz val="14"/>
        <rFont val="AngsanaUPC"/>
        <family val="1"/>
      </rPr>
      <t>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</si>
  <si>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YA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</si>
  <si>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XA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</si>
  <si>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XT</t>
    </r>
    <r>
      <rPr>
        <sz val="14"/>
        <rFont val="AngsanaUPC"/>
      </rPr>
      <t xml:space="preserve">  =</t>
    </r>
  </si>
  <si>
    <r>
      <t>P</t>
    </r>
    <r>
      <rPr>
        <vertAlign val="subscript"/>
        <sz val="14"/>
        <rFont val="AngsanaUPC"/>
        <family val="1"/>
      </rPr>
      <t>YT</t>
    </r>
    <r>
      <rPr>
        <sz val="14"/>
        <rFont val="AngsanaUPC"/>
      </rPr>
      <t xml:space="preserve">  =</t>
    </r>
  </si>
  <si>
    <r>
      <t>I</t>
    </r>
    <r>
      <rPr>
        <vertAlign val="subscript"/>
        <sz val="14"/>
        <rFont val="AngsanaUPC"/>
        <family val="1"/>
      </rPr>
      <t>T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</si>
  <si>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T</t>
    </r>
    <r>
      <rPr>
        <sz val="14"/>
        <rFont val="AngsanaUPC"/>
      </rPr>
      <t xml:space="preserve">  =</t>
    </r>
  </si>
  <si>
    <r>
      <t>Y</t>
    </r>
    <r>
      <rPr>
        <vertAlign val="subscript"/>
        <sz val="14"/>
        <rFont val="AngsanaUPC"/>
        <family val="1"/>
      </rPr>
      <t>T</t>
    </r>
    <r>
      <rPr>
        <sz val="14"/>
        <rFont val="AngsanaUPC"/>
      </rPr>
      <t xml:space="preserve">  =</t>
    </r>
  </si>
  <si>
    <r>
      <t>w</t>
    </r>
    <r>
      <rPr>
        <vertAlign val="subscript"/>
        <sz val="14"/>
        <rFont val="AngsanaUPC"/>
        <family val="1"/>
      </rPr>
      <t>T</t>
    </r>
    <r>
      <rPr>
        <sz val="14"/>
        <rFont val="AngsanaUPC"/>
      </rPr>
      <t xml:space="preserve">  =</t>
    </r>
  </si>
  <si>
    <r>
      <t>X</t>
    </r>
    <r>
      <rPr>
        <vertAlign val="subscript"/>
        <sz val="14"/>
        <rFont val="AngsanaUPC"/>
        <family val="1"/>
      </rPr>
      <t>A</t>
    </r>
    <r>
      <rPr>
        <sz val="14"/>
        <rFont val="AngsanaUPC"/>
      </rPr>
      <t xml:space="preserve">  =</t>
    </r>
  </si>
  <si>
    <r>
      <t>Y</t>
    </r>
    <r>
      <rPr>
        <vertAlign val="subscript"/>
        <sz val="14"/>
        <rFont val="AngsanaUPC"/>
        <family val="1"/>
      </rPr>
      <t>A</t>
    </r>
    <r>
      <rPr>
        <sz val="14"/>
        <rFont val="AngsanaUPC"/>
      </rPr>
      <t xml:space="preserve">  =</t>
    </r>
  </si>
  <si>
    <r>
      <t>w</t>
    </r>
    <r>
      <rPr>
        <vertAlign val="subscript"/>
        <sz val="14"/>
        <rFont val="AngsanaUPC"/>
        <family val="1"/>
      </rPr>
      <t>A</t>
    </r>
    <r>
      <rPr>
        <sz val="14"/>
        <rFont val="AngsanaUPC"/>
      </rPr>
      <t xml:space="preserve">  =</t>
    </r>
  </si>
  <si>
    <r>
      <t>U</t>
    </r>
    <r>
      <rPr>
        <vertAlign val="subscript"/>
        <sz val="14"/>
        <rFont val="AngsanaUPC"/>
        <family val="1"/>
      </rPr>
      <t>A</t>
    </r>
    <r>
      <rPr>
        <sz val="14"/>
        <rFont val="AngsanaUPC"/>
      </rPr>
      <t xml:space="preserve"> =</t>
    </r>
  </si>
  <si>
    <t>Unit labor requirements:</t>
  </si>
  <si>
    <t>Change the parameter to see the change</t>
  </si>
  <si>
    <t>ICA</t>
  </si>
  <si>
    <t>ICT</t>
  </si>
  <si>
    <t>w   =</t>
  </si>
  <si>
    <t>Ricardian Model: Basic Model</t>
  </si>
  <si>
    <t>Ricardian Model:Trade Equilibrium</t>
  </si>
  <si>
    <t>Use the Basic Model to solve the following questions:</t>
  </si>
  <si>
    <t>Question</t>
  </si>
  <si>
    <t>Use the Trade Equilibrium Model to solve the following questions:</t>
  </si>
  <si>
    <r>
      <t>First, make sure that all parameters are set at there initial values:  a = 8, b = 4, L = 140, P</t>
    </r>
    <r>
      <rPr>
        <b/>
        <vertAlign val="subscript"/>
        <sz val="18"/>
        <color indexed="12"/>
        <rFont val="AngsanaUPC"/>
        <family val="1"/>
      </rPr>
      <t>W</t>
    </r>
    <r>
      <rPr>
        <b/>
        <sz val="18"/>
        <color indexed="12"/>
        <rFont val="AngsanaUPC"/>
        <family val="1"/>
      </rPr>
      <t xml:space="preserve"> = 2.</t>
    </r>
  </si>
  <si>
    <r>
      <t>2. Set all parameters back to the initial values, then lower the value of the relative world price (P</t>
    </r>
    <r>
      <rPr>
        <b/>
        <vertAlign val="subscript"/>
        <sz val="18"/>
        <rFont val="AngsanaUPC"/>
        <family val="1"/>
      </rPr>
      <t>W</t>
    </r>
    <r>
      <rPr>
        <b/>
        <sz val="18"/>
        <rFont val="AngsanaUPC"/>
        <family val="1"/>
      </rPr>
      <t>),</t>
    </r>
  </si>
  <si>
    <r>
      <t>2. Set all parameters back to the initial values, then increase the value of the relative world price (P</t>
    </r>
    <r>
      <rPr>
        <b/>
        <vertAlign val="subscript"/>
        <sz val="18"/>
        <rFont val="AngsanaUPC"/>
        <family val="1"/>
      </rPr>
      <t>W</t>
    </r>
    <r>
      <rPr>
        <b/>
        <sz val="18"/>
        <rFont val="AngsanaUPC"/>
        <family val="1"/>
      </rPr>
      <t xml:space="preserve">), </t>
    </r>
  </si>
  <si>
    <t xml:space="preserve">how does the Budget Line change? Why? Which product should the country specialize in and export? </t>
  </si>
  <si>
    <t>1. Increase the labor endowment, L, how does the PPC change? Does the slope change? Why?</t>
  </si>
  <si>
    <t>Budget line</t>
  </si>
  <si>
    <t>How does the value of exports and imports change?</t>
  </si>
  <si>
    <t>Trade solutions:</t>
  </si>
  <si>
    <t>Autarky solution:</t>
  </si>
  <si>
    <t xml:space="preserve">3. Set all parameters back to the initial values, then change the value of either "a" or "b", </t>
  </si>
  <si>
    <t>how does the PPC, relative autarky price, imports and exports change?</t>
  </si>
  <si>
    <t>1.  What is the autarky price ratio of each country? Which country has the comparative advantage in X and in Y?  Explain.</t>
  </si>
  <si>
    <r>
      <t>First, make sure that all parameters are set at there initial values:  a = 8, b = 4, L = 140, a* = 4, b* = 8, L = 160, P</t>
    </r>
    <r>
      <rPr>
        <b/>
        <vertAlign val="subscript"/>
        <sz val="18"/>
        <color indexed="12"/>
        <rFont val="AngsanaUPC"/>
        <family val="1"/>
      </rPr>
      <t>W</t>
    </r>
    <r>
      <rPr>
        <b/>
        <sz val="18"/>
        <color indexed="12"/>
        <rFont val="AngsanaUPC"/>
        <family val="1"/>
      </rPr>
      <t xml:space="preserve"> = 0.8.</t>
    </r>
  </si>
  <si>
    <t>which good each country exports and imports and by how much?</t>
  </si>
  <si>
    <r>
      <t>2. Change thevalue of P</t>
    </r>
    <r>
      <rPr>
        <b/>
        <vertAlign val="subscript"/>
        <sz val="18"/>
        <rFont val="AngsanaUPC"/>
        <family val="1"/>
      </rPr>
      <t>W</t>
    </r>
    <r>
      <rPr>
        <b/>
        <sz val="18"/>
        <rFont val="AngsanaUPC"/>
        <family val="1"/>
      </rPr>
      <t xml:space="preserve"> until the Excess X and Excess Y become zero or until the world trade is in balance,</t>
    </r>
  </si>
  <si>
    <t xml:space="preserve">3. Set all parameters back to the initial values, then change the size of F's labor resource, does it change the pattern of comparative?  </t>
  </si>
  <si>
    <t>Why or why not?  What about the relative world price and in which direction?  Explain.</t>
  </si>
  <si>
    <t xml:space="preserve">4.  When F's labor resource is sufficiently small, say at 80, what will happen to the equilbrium world price? </t>
  </si>
  <si>
    <t>Which country gain more from trade? Why?</t>
  </si>
  <si>
    <t>Explanation</t>
  </si>
  <si>
    <r>
      <t>a</t>
    </r>
    <r>
      <rPr>
        <b/>
        <vertAlign val="subscript"/>
        <sz val="18"/>
        <rFont val="AngsanaUPC"/>
        <family val="1"/>
      </rPr>
      <t xml:space="preserve">  </t>
    </r>
    <r>
      <rPr>
        <b/>
        <sz val="18"/>
        <rFont val="AngsanaUPC"/>
        <family val="1"/>
      </rPr>
      <t xml:space="preserve"> =</t>
    </r>
  </si>
  <si>
    <r>
      <t>b</t>
    </r>
    <r>
      <rPr>
        <b/>
        <vertAlign val="subscript"/>
        <sz val="18"/>
        <rFont val="AngsanaUPC"/>
        <family val="1"/>
      </rPr>
      <t xml:space="preserve"> </t>
    </r>
    <r>
      <rPr>
        <b/>
        <sz val="18"/>
        <rFont val="AngsanaUPC"/>
        <family val="1"/>
      </rPr>
      <t xml:space="preserve"> =</t>
    </r>
  </si>
  <si>
    <r>
      <t>Utilities:   U  =  XY -&gt;  C</t>
    </r>
    <r>
      <rPr>
        <b/>
        <vertAlign val="subscript"/>
        <sz val="18"/>
        <rFont val="AngsanaUPC"/>
        <family val="1"/>
      </rPr>
      <t>i</t>
    </r>
    <r>
      <rPr>
        <b/>
        <sz val="18"/>
        <rFont val="AngsanaUPC"/>
        <family val="1"/>
      </rPr>
      <t xml:space="preserve">   =   I/2P</t>
    </r>
    <r>
      <rPr>
        <b/>
        <vertAlign val="subscript"/>
        <sz val="18"/>
        <rFont val="AngsanaUPC"/>
        <family val="1"/>
      </rPr>
      <t xml:space="preserve">i </t>
    </r>
    <r>
      <rPr>
        <b/>
        <sz val="18"/>
        <rFont val="AngsanaUPC"/>
        <family val="1"/>
      </rPr>
      <t xml:space="preserve"> where i = X, Y.</t>
    </r>
  </si>
  <si>
    <r>
      <t>L</t>
    </r>
    <r>
      <rPr>
        <b/>
        <vertAlign val="subscript"/>
        <sz val="18"/>
        <rFont val="AngsanaUPC"/>
        <family val="1"/>
      </rPr>
      <t xml:space="preserve">  </t>
    </r>
    <r>
      <rPr>
        <b/>
        <sz val="18"/>
        <rFont val="AngsanaUPC"/>
        <family val="1"/>
      </rPr>
      <t xml:space="preserve"> =</t>
    </r>
  </si>
  <si>
    <r>
      <t>X</t>
    </r>
    <r>
      <rPr>
        <b/>
        <vertAlign val="subscript"/>
        <sz val="18"/>
        <rFont val="AngsanaUPC"/>
        <family val="1"/>
      </rPr>
      <t>A</t>
    </r>
    <r>
      <rPr>
        <b/>
        <sz val="18"/>
        <rFont val="AngsanaUPC"/>
        <family val="1"/>
      </rPr>
      <t xml:space="preserve">  =</t>
    </r>
  </si>
  <si>
    <r>
      <t>Y</t>
    </r>
    <r>
      <rPr>
        <b/>
        <vertAlign val="subscript"/>
        <sz val="18"/>
        <rFont val="AngsanaUPC"/>
        <family val="1"/>
      </rPr>
      <t>A</t>
    </r>
    <r>
      <rPr>
        <b/>
        <sz val="18"/>
        <rFont val="AngsanaUPC"/>
        <family val="1"/>
      </rPr>
      <t xml:space="preserve">  =</t>
    </r>
  </si>
  <si>
    <r>
      <t>P</t>
    </r>
    <r>
      <rPr>
        <b/>
        <vertAlign val="subscript"/>
        <sz val="18"/>
        <rFont val="AngsanaUPC"/>
        <family val="1"/>
      </rPr>
      <t>W</t>
    </r>
    <r>
      <rPr>
        <b/>
        <sz val="18"/>
        <rFont val="AngsanaUPC"/>
        <family val="1"/>
      </rPr>
      <t xml:space="preserve">  =</t>
    </r>
  </si>
  <si>
    <r>
      <t>P</t>
    </r>
    <r>
      <rPr>
        <vertAlign val="subscript"/>
        <sz val="18"/>
        <rFont val="AngsanaUPC"/>
        <family val="1"/>
      </rPr>
      <t>X</t>
    </r>
    <r>
      <rPr>
        <sz val="18"/>
        <rFont val="AngsanaUPC"/>
        <family val="1"/>
      </rPr>
      <t>/P</t>
    </r>
    <r>
      <rPr>
        <vertAlign val="subscript"/>
        <sz val="18"/>
        <rFont val="AngsanaUPC"/>
        <family val="1"/>
      </rPr>
      <t>Y</t>
    </r>
    <r>
      <rPr>
        <sz val="18"/>
        <rFont val="AngsanaUPC"/>
        <family val="1"/>
      </rPr>
      <t xml:space="preserve"> =</t>
    </r>
  </si>
  <si>
    <r>
      <t>C</t>
    </r>
    <r>
      <rPr>
        <b/>
        <vertAlign val="subscript"/>
        <sz val="18"/>
        <rFont val="AngsanaUPC"/>
        <family val="1"/>
      </rPr>
      <t>X</t>
    </r>
    <r>
      <rPr>
        <b/>
        <sz val="18"/>
        <rFont val="AngsanaUPC"/>
        <family val="1"/>
      </rPr>
      <t xml:space="preserve">  =</t>
    </r>
  </si>
  <si>
    <r>
      <t>Q</t>
    </r>
    <r>
      <rPr>
        <b/>
        <vertAlign val="subscript"/>
        <sz val="18"/>
        <rFont val="AngsanaUPC"/>
        <family val="1"/>
      </rPr>
      <t>X</t>
    </r>
    <r>
      <rPr>
        <b/>
        <sz val="18"/>
        <rFont val="AngsanaUPC"/>
        <family val="1"/>
      </rPr>
      <t xml:space="preserve">  =</t>
    </r>
  </si>
  <si>
    <r>
      <t>C</t>
    </r>
    <r>
      <rPr>
        <b/>
        <vertAlign val="subscript"/>
        <sz val="18"/>
        <rFont val="AngsanaUPC"/>
        <family val="1"/>
      </rPr>
      <t>Y</t>
    </r>
    <r>
      <rPr>
        <b/>
        <sz val="18"/>
        <rFont val="AngsanaUPC"/>
        <family val="1"/>
      </rPr>
      <t xml:space="preserve">  =</t>
    </r>
  </si>
  <si>
    <r>
      <t>Q</t>
    </r>
    <r>
      <rPr>
        <b/>
        <vertAlign val="subscript"/>
        <sz val="18"/>
        <rFont val="AngsanaUPC"/>
        <family val="1"/>
      </rPr>
      <t>Y</t>
    </r>
    <r>
      <rPr>
        <b/>
        <sz val="18"/>
        <rFont val="AngsanaUPC"/>
        <family val="1"/>
      </rPr>
      <t xml:space="preserve">  =</t>
    </r>
  </si>
  <si>
    <r>
      <t>X*</t>
    </r>
    <r>
      <rPr>
        <b/>
        <vertAlign val="subscript"/>
        <sz val="18"/>
        <rFont val="AngsanaUPC"/>
        <family val="1"/>
      </rPr>
      <t>A</t>
    </r>
    <r>
      <rPr>
        <b/>
        <sz val="18"/>
        <rFont val="AngsanaUPC"/>
        <family val="1"/>
      </rPr>
      <t xml:space="preserve">  =</t>
    </r>
  </si>
  <si>
    <r>
      <t>Y*</t>
    </r>
    <r>
      <rPr>
        <b/>
        <vertAlign val="subscript"/>
        <sz val="18"/>
        <rFont val="AngsanaUPC"/>
        <family val="1"/>
      </rPr>
      <t>A</t>
    </r>
    <r>
      <rPr>
        <b/>
        <sz val="18"/>
        <rFont val="AngsanaUPC"/>
        <family val="1"/>
      </rPr>
      <t xml:space="preserve">  =</t>
    </r>
  </si>
  <si>
    <r>
      <t>X</t>
    </r>
    <r>
      <rPr>
        <b/>
        <vertAlign val="subscript"/>
        <sz val="18"/>
        <rFont val="AngsanaUPC"/>
        <family val="1"/>
      </rPr>
      <t>T</t>
    </r>
    <r>
      <rPr>
        <b/>
        <sz val="18"/>
        <rFont val="AngsanaUPC"/>
        <family val="1"/>
      </rPr>
      <t xml:space="preserve">  =</t>
    </r>
  </si>
  <si>
    <r>
      <t>X*</t>
    </r>
    <r>
      <rPr>
        <b/>
        <vertAlign val="subscript"/>
        <sz val="18"/>
        <rFont val="AngsanaUPC"/>
        <family val="1"/>
      </rPr>
      <t>T</t>
    </r>
    <r>
      <rPr>
        <b/>
        <sz val="18"/>
        <rFont val="AngsanaUPC"/>
        <family val="1"/>
      </rPr>
      <t xml:space="preserve">  =</t>
    </r>
  </si>
  <si>
    <r>
      <t>Y</t>
    </r>
    <r>
      <rPr>
        <b/>
        <vertAlign val="subscript"/>
        <sz val="18"/>
        <rFont val="AngsanaUPC"/>
        <family val="1"/>
      </rPr>
      <t>T</t>
    </r>
    <r>
      <rPr>
        <b/>
        <sz val="18"/>
        <rFont val="AngsanaUPC"/>
        <family val="1"/>
      </rPr>
      <t xml:space="preserve">  =</t>
    </r>
  </si>
  <si>
    <r>
      <t>Y*</t>
    </r>
    <r>
      <rPr>
        <b/>
        <vertAlign val="subscript"/>
        <sz val="18"/>
        <rFont val="AngsanaUPC"/>
        <family val="1"/>
      </rPr>
      <t>T</t>
    </r>
    <r>
      <rPr>
        <b/>
        <sz val="18"/>
        <rFont val="AngsanaUPC"/>
        <family val="1"/>
      </rPr>
      <t xml:space="preserve">  =</t>
    </r>
  </si>
  <si>
    <r>
      <t>GDP</t>
    </r>
    <r>
      <rPr>
        <vertAlign val="subscript"/>
        <sz val="14"/>
        <rFont val="AngsanaUPC"/>
        <family val="1"/>
      </rPr>
      <t>A</t>
    </r>
  </si>
  <si>
    <r>
      <t>GDP</t>
    </r>
    <r>
      <rPr>
        <vertAlign val="subscript"/>
        <sz val="14"/>
        <rFont val="AngsanaUPC"/>
        <family val="1"/>
      </rPr>
      <t>A</t>
    </r>
    <r>
      <rPr>
        <sz val="14"/>
        <rFont val="AngsanaUPC"/>
      </rPr>
      <t xml:space="preserve"> (P</t>
    </r>
    <r>
      <rPr>
        <vertAlign val="subscript"/>
        <sz val="14"/>
        <rFont val="AngsanaUPC"/>
        <family val="1"/>
      </rPr>
      <t>W</t>
    </r>
    <r>
      <rPr>
        <sz val="14"/>
        <rFont val="AngsanaUPC"/>
      </rPr>
      <t>)</t>
    </r>
  </si>
  <si>
    <r>
      <t>GDP</t>
    </r>
    <r>
      <rPr>
        <vertAlign val="subscript"/>
        <sz val="14"/>
        <rFont val="AngsanaUPC"/>
        <family val="1"/>
      </rPr>
      <t>W</t>
    </r>
    <r>
      <rPr>
        <sz val="14"/>
        <rFont val="AngsanaUPC"/>
      </rPr>
      <t xml:space="preserve"> (P</t>
    </r>
    <r>
      <rPr>
        <vertAlign val="subscript"/>
        <sz val="14"/>
        <rFont val="AngsanaUPC"/>
        <family val="1"/>
      </rPr>
      <t>W</t>
    </r>
    <r>
      <rPr>
        <sz val="14"/>
        <rFont val="AngsanaUPC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</si>
</sst>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4"/>
      <name val="AngsanaUPC"/>
    </font>
    <font>
      <vertAlign val="subscript"/>
      <sz val="14"/>
      <name val="AngsanaUPC"/>
      <family val="1"/>
    </font>
    <font>
      <b/>
      <sz val="16"/>
      <name val="AngsanaUPC"/>
      <family val="1"/>
    </font>
    <font>
      <b/>
      <sz val="20"/>
      <color indexed="21"/>
      <name val="AngsanaUPC"/>
      <family val="1"/>
    </font>
    <font>
      <b/>
      <sz val="18"/>
      <name val="AngsanaUPC"/>
      <family val="1"/>
    </font>
    <font>
      <sz val="14"/>
      <color indexed="9"/>
      <name val="AngsanaUPC"/>
      <family val="1"/>
    </font>
    <font>
      <sz val="8"/>
      <name val="AngsanaUPC"/>
    </font>
    <font>
      <b/>
      <u/>
      <sz val="14"/>
      <color indexed="12"/>
      <name val="AngsanaUPC"/>
      <family val="1"/>
    </font>
    <font>
      <u/>
      <sz val="14"/>
      <color indexed="12"/>
      <name val="AngsanaUPC"/>
    </font>
    <font>
      <sz val="16"/>
      <name val="AngsanaUPC"/>
      <family val="1"/>
    </font>
    <font>
      <b/>
      <sz val="18"/>
      <color indexed="12"/>
      <name val="AngsanaUPC"/>
      <family val="1"/>
    </font>
    <font>
      <b/>
      <sz val="18"/>
      <color indexed="60"/>
      <name val="AngsanaUPC"/>
      <family val="1"/>
    </font>
    <font>
      <b/>
      <vertAlign val="subscript"/>
      <sz val="18"/>
      <color indexed="12"/>
      <name val="AngsanaUPC"/>
      <family val="1"/>
    </font>
    <font>
      <b/>
      <vertAlign val="subscript"/>
      <sz val="18"/>
      <name val="AngsanaUPC"/>
      <family val="1"/>
    </font>
    <font>
      <sz val="18"/>
      <name val="AngsanaUPC"/>
      <family val="1"/>
    </font>
    <font>
      <sz val="14"/>
      <color indexed="9"/>
      <name val="AngsanaUPC"/>
      <family val="1"/>
    </font>
    <font>
      <vertAlign val="subscript"/>
      <sz val="18"/>
      <name val="AngsanaUPC"/>
      <family val="1"/>
    </font>
    <font>
      <u/>
      <sz val="16"/>
      <color indexed="12"/>
      <name val="AngsanaUPC"/>
    </font>
    <font>
      <b/>
      <u/>
      <sz val="16"/>
      <color indexed="12"/>
      <name val="AngsanaUPC"/>
      <family val="1"/>
    </font>
    <font>
      <u/>
      <sz val="16"/>
      <color indexed="12"/>
      <name val="AngsanaUPC"/>
      <family val="1"/>
    </font>
    <font>
      <sz val="13"/>
      <color rgb="FF000000"/>
      <name val="Lucida Grande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11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1" xfId="0" applyBorder="1"/>
    <xf numFmtId="0" fontId="0" fillId="0" borderId="2" xfId="0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4" xfId="0" applyNumberFormat="1" applyBorder="1"/>
    <xf numFmtId="164" fontId="0" fillId="0" borderId="1" xfId="0" applyNumberFormat="1" applyBorder="1"/>
    <xf numFmtId="0" fontId="0" fillId="0" borderId="10" xfId="0" applyBorder="1"/>
    <xf numFmtId="164" fontId="0" fillId="0" borderId="3" xfId="0" applyNumberFormat="1" applyBorder="1"/>
    <xf numFmtId="164" fontId="0" fillId="0" borderId="11" xfId="0" applyNumberFormat="1" applyBorder="1"/>
    <xf numFmtId="164" fontId="0" fillId="0" borderId="0" xfId="0" applyNumberFormat="1" applyBorder="1"/>
    <xf numFmtId="2" fontId="0" fillId="0" borderId="3" xfId="0" applyNumberFormat="1" applyBorder="1"/>
    <xf numFmtId="1" fontId="0" fillId="0" borderId="6" xfId="0" applyNumberFormat="1" applyBorder="1"/>
    <xf numFmtId="1" fontId="0" fillId="0" borderId="2" xfId="0" applyNumberFormat="1" applyBorder="1"/>
    <xf numFmtId="1" fontId="0" fillId="0" borderId="4" xfId="0" applyNumberFormat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indent="2"/>
    </xf>
    <xf numFmtId="1" fontId="0" fillId="0" borderId="10" xfId="0" applyNumberFormat="1" applyBorder="1"/>
    <xf numFmtId="1" fontId="0" fillId="0" borderId="0" xfId="0" applyNumberFormat="1"/>
    <xf numFmtId="0" fontId="5" fillId="0" borderId="0" xfId="0" applyFont="1"/>
    <xf numFmtId="0" fontId="9" fillId="0" borderId="0" xfId="0" applyFont="1"/>
    <xf numFmtId="0" fontId="2" fillId="0" borderId="0" xfId="0" applyFont="1"/>
    <xf numFmtId="164" fontId="0" fillId="0" borderId="2" xfId="0" applyNumberFormat="1" applyBorder="1"/>
    <xf numFmtId="0" fontId="2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indent="1"/>
    </xf>
    <xf numFmtId="0" fontId="11" fillId="0" borderId="0" xfId="0" applyFont="1" applyFill="1" applyAlignment="1">
      <alignment vertical="center"/>
    </xf>
    <xf numFmtId="0" fontId="7" fillId="0" borderId="0" xfId="1" applyFont="1" applyAlignment="1" applyProtection="1"/>
    <xf numFmtId="164" fontId="2" fillId="0" borderId="0" xfId="0" applyNumberFormat="1" applyFont="1" applyFill="1" applyBorder="1"/>
    <xf numFmtId="0" fontId="4" fillId="0" borderId="0" xfId="0" applyFont="1"/>
    <xf numFmtId="0" fontId="10" fillId="0" borderId="0" xfId="0" applyFont="1"/>
    <xf numFmtId="0" fontId="4" fillId="0" borderId="0" xfId="0" applyFont="1" applyAlignment="1">
      <alignment horizontal="left" indent="1"/>
    </xf>
    <xf numFmtId="0" fontId="14" fillId="0" borderId="0" xfId="0" applyFont="1"/>
    <xf numFmtId="0" fontId="4" fillId="0" borderId="0" xfId="0" applyFont="1" applyAlignment="1">
      <alignment horizontal="left"/>
    </xf>
    <xf numFmtId="0" fontId="7" fillId="0" borderId="0" xfId="1" applyFont="1" applyAlignment="1" applyProtection="1">
      <alignment wrapText="1"/>
    </xf>
    <xf numFmtId="0" fontId="8" fillId="0" borderId="0" xfId="1" applyAlignment="1" applyProtection="1">
      <alignment horizontal="center"/>
    </xf>
    <xf numFmtId="0" fontId="15" fillId="0" borderId="0" xfId="0" applyFont="1"/>
    <xf numFmtId="0" fontId="4" fillId="0" borderId="12" xfId="0" applyFont="1" applyBorder="1" applyAlignment="1">
      <alignment horizontal="right"/>
    </xf>
    <xf numFmtId="0" fontId="4" fillId="2" borderId="12" xfId="0" applyFont="1" applyFill="1" applyBorder="1"/>
    <xf numFmtId="0" fontId="14" fillId="0" borderId="0" xfId="0" applyFont="1" applyBorder="1" applyProtection="1">
      <protection locked="0"/>
    </xf>
    <xf numFmtId="0" fontId="14" fillId="0" borderId="3" xfId="0" applyFont="1" applyBorder="1" applyProtection="1">
      <protection locked="0"/>
    </xf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4" fillId="0" borderId="2" xfId="0" applyFont="1" applyBorder="1"/>
    <xf numFmtId="0" fontId="4" fillId="0" borderId="0" xfId="0" applyFont="1" applyBorder="1"/>
    <xf numFmtId="0" fontId="14" fillId="0" borderId="0" xfId="0" applyFont="1" applyBorder="1"/>
    <xf numFmtId="0" fontId="4" fillId="0" borderId="7" xfId="0" applyFont="1" applyBorder="1" applyAlignment="1">
      <alignment horizontal="right"/>
    </xf>
    <xf numFmtId="0" fontId="4" fillId="2" borderId="12" xfId="0" applyFont="1" applyFill="1" applyBorder="1" applyProtection="1">
      <protection locked="0"/>
    </xf>
    <xf numFmtId="0" fontId="14" fillId="0" borderId="3" xfId="0" applyFont="1" applyBorder="1"/>
    <xf numFmtId="0" fontId="4" fillId="0" borderId="7" xfId="0" applyFont="1" applyBorder="1"/>
    <xf numFmtId="0" fontId="14" fillId="0" borderId="9" xfId="0" applyFont="1" applyBorder="1"/>
    <xf numFmtId="0" fontId="4" fillId="0" borderId="13" xfId="0" applyFont="1" applyBorder="1" applyAlignment="1">
      <alignment horizontal="right"/>
    </xf>
    <xf numFmtId="164" fontId="4" fillId="3" borderId="12" xfId="0" applyNumberFormat="1" applyFont="1" applyFill="1" applyBorder="1"/>
    <xf numFmtId="0" fontId="4" fillId="0" borderId="14" xfId="0" applyFont="1" applyBorder="1" applyAlignment="1">
      <alignment horizontal="right"/>
    </xf>
    <xf numFmtId="0" fontId="14" fillId="0" borderId="4" xfId="0" applyFont="1" applyBorder="1" applyAlignment="1">
      <alignment horizontal="right"/>
    </xf>
    <xf numFmtId="164" fontId="4" fillId="0" borderId="12" xfId="0" applyNumberFormat="1" applyFont="1" applyFill="1" applyBorder="1" applyAlignment="1">
      <alignment horizontal="center"/>
    </xf>
    <xf numFmtId="164" fontId="4" fillId="3" borderId="12" xfId="0" applyNumberFormat="1" applyFont="1" applyFill="1" applyBorder="1" applyAlignment="1">
      <alignment horizontal="right"/>
    </xf>
    <xf numFmtId="0" fontId="14" fillId="0" borderId="12" xfId="0" applyFont="1" applyBorder="1" applyAlignment="1">
      <alignment horizontal="right"/>
    </xf>
    <xf numFmtId="2" fontId="4" fillId="3" borderId="12" xfId="0" applyNumberFormat="1" applyFont="1" applyFill="1" applyBorder="1"/>
    <xf numFmtId="0" fontId="14" fillId="0" borderId="10" xfId="0" applyFont="1" applyBorder="1"/>
    <xf numFmtId="0" fontId="4" fillId="0" borderId="11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14" fillId="0" borderId="7" xfId="0" applyFont="1" applyBorder="1"/>
    <xf numFmtId="0" fontId="4" fillId="0" borderId="8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4" borderId="12" xfId="0" applyFont="1" applyFill="1" applyBorder="1"/>
    <xf numFmtId="0" fontId="14" fillId="0" borderId="2" xfId="0" applyFont="1" applyBorder="1"/>
    <xf numFmtId="0" fontId="4" fillId="0" borderId="10" xfId="0" applyFont="1" applyBorder="1"/>
    <xf numFmtId="0" fontId="14" fillId="0" borderId="11" xfId="0" applyFont="1" applyBorder="1"/>
    <xf numFmtId="0" fontId="14" fillId="0" borderId="8" xfId="0" applyFont="1" applyBorder="1"/>
    <xf numFmtId="0" fontId="4" fillId="0" borderId="2" xfId="0" applyFont="1" applyBorder="1" applyAlignment="1">
      <alignment horizontal="right"/>
    </xf>
    <xf numFmtId="164" fontId="4" fillId="3" borderId="13" xfId="0" applyNumberFormat="1" applyFont="1" applyFill="1" applyBorder="1"/>
    <xf numFmtId="0" fontId="4" fillId="0" borderId="5" xfId="0" applyFont="1" applyBorder="1"/>
    <xf numFmtId="0" fontId="4" fillId="0" borderId="4" xfId="0" applyFont="1" applyBorder="1"/>
    <xf numFmtId="0" fontId="17" fillId="0" borderId="0" xfId="1" applyFont="1" applyAlignment="1" applyProtection="1"/>
    <xf numFmtId="0" fontId="18" fillId="0" borderId="0" xfId="1" applyFont="1" applyAlignment="1" applyProtection="1"/>
    <xf numFmtId="0" fontId="19" fillId="0" borderId="0" xfId="1" applyFont="1" applyAlignment="1" applyProtection="1"/>
    <xf numFmtId="2" fontId="0" fillId="0" borderId="0" xfId="0" applyNumberForma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14" fillId="5" borderId="8" xfId="0" applyFont="1" applyFill="1" applyBorder="1"/>
    <xf numFmtId="0" fontId="14" fillId="5" borderId="9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742597733084144"/>
          <c:y val="0.121783636953345"/>
          <c:w val="0.883691302370131"/>
          <c:h val="0.779883675105074"/>
        </c:manualLayout>
      </c:layout>
      <c:scatterChart>
        <c:scatterStyle val="lineMarker"/>
        <c:varyColors val="0"/>
        <c:ser>
          <c:idx val="0"/>
          <c:order val="0"/>
          <c:tx>
            <c:strRef>
              <c:f>'Basic Model'!$U$2</c:f>
              <c:strCache>
                <c:ptCount val="1"/>
                <c:pt idx="0">
                  <c:v>Y</c:v>
                </c:pt>
              </c:strCache>
            </c:strRef>
          </c:tx>
          <c:spPr>
            <a:ln w="25400">
              <a:solidFill>
                <a:srgbClr val="00009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0.0874474217939136"/>
                  <c:y val="-0.0200091703245261"/>
                </c:manualLayout>
              </c:layout>
              <c:tx>
                <c:rich>
                  <a:bodyPr/>
                  <a:lstStyle/>
                  <a:p>
                    <a:pPr>
                      <a:defRPr sz="875" b="1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/>
                      <a:t>PPC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'Basic Model'!$T$3:$T$4</c:f>
              <c:numCache>
                <c:formatCode>General</c:formatCode>
                <c:ptCount val="2"/>
                <c:pt idx="0">
                  <c:v>0.0</c:v>
                </c:pt>
                <c:pt idx="1">
                  <c:v>20.0</c:v>
                </c:pt>
              </c:numCache>
            </c:numRef>
          </c:xVal>
          <c:yVal>
            <c:numRef>
              <c:f>'Basic Model'!$U$3:$U$4</c:f>
              <c:numCache>
                <c:formatCode>General</c:formatCode>
                <c:ptCount val="2"/>
                <c:pt idx="0">
                  <c:v>40.0</c:v>
                </c:pt>
                <c:pt idx="1">
                  <c:v>0.0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'Basic Model'!$T$10</c:f>
              <c:strCache>
                <c:ptCount val="1"/>
                <c:pt idx="0">
                  <c:v>Budget line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</a:ln>
          </c:spPr>
          <c:marker>
            <c:symbol val="none"/>
          </c:marker>
          <c:xVal>
            <c:numRef>
              <c:f>'Basic Model'!$T$12:$T$14</c:f>
              <c:numCache>
                <c:formatCode>0.0</c:formatCode>
                <c:ptCount val="3"/>
                <c:pt idx="0" formatCode="General">
                  <c:v>0.0</c:v>
                </c:pt>
                <c:pt idx="1">
                  <c:v>22.22222222222222</c:v>
                </c:pt>
                <c:pt idx="2">
                  <c:v>44.44444444444444</c:v>
                </c:pt>
              </c:numCache>
            </c:numRef>
          </c:xVal>
          <c:yVal>
            <c:numRef>
              <c:f>'Basic Model'!$U$12:$U$14</c:f>
              <c:numCache>
                <c:formatCode>General</c:formatCode>
                <c:ptCount val="3"/>
                <c:pt idx="0">
                  <c:v>40.0</c:v>
                </c:pt>
                <c:pt idx="1">
                  <c:v>20.0</c:v>
                </c:pt>
                <c:pt idx="2">
                  <c:v>0.0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'Basic Model'!$Z$2</c:f>
              <c:strCache>
                <c:ptCount val="1"/>
                <c:pt idx="0">
                  <c:v>ICA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dLbls>
            <c:dLbl>
              <c:idx val="49"/>
              <c:layout/>
              <c:tx>
                <c:rich>
                  <a:bodyPr/>
                  <a:lstStyle/>
                  <a:p>
                    <a:pPr>
                      <a:defRPr sz="875" b="1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sz="875" b="1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IC</a:t>
                    </a:r>
                    <a:r>
                      <a:rPr lang="en-US" sz="900" b="1" i="0" u="none" strike="noStrike" baseline="-2500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A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'Basic Model'!$Y$3:$Y$52</c:f>
              <c:numCache>
                <c:formatCode>General</c:formatCode>
                <c:ptCount val="5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</c:numCache>
            </c:numRef>
          </c:xVal>
          <c:yVal>
            <c:numRef>
              <c:f>'Basic Model'!$Z$3:$Z$52</c:f>
              <c:numCache>
                <c:formatCode>0.0</c:formatCode>
                <c:ptCount val="50"/>
                <c:pt idx="0">
                  <c:v>200.0</c:v>
                </c:pt>
                <c:pt idx="1">
                  <c:v>100.0</c:v>
                </c:pt>
                <c:pt idx="2">
                  <c:v>66.66666666666667</c:v>
                </c:pt>
                <c:pt idx="3">
                  <c:v>50.0</c:v>
                </c:pt>
                <c:pt idx="4">
                  <c:v>40.0</c:v>
                </c:pt>
                <c:pt idx="5">
                  <c:v>33.33333333333334</c:v>
                </c:pt>
                <c:pt idx="6">
                  <c:v>28.57142857142857</c:v>
                </c:pt>
                <c:pt idx="7">
                  <c:v>25.0</c:v>
                </c:pt>
                <c:pt idx="8">
                  <c:v>22.22222222222222</c:v>
                </c:pt>
                <c:pt idx="9">
                  <c:v>20.0</c:v>
                </c:pt>
                <c:pt idx="10">
                  <c:v>18.18181818181818</c:v>
                </c:pt>
                <c:pt idx="11">
                  <c:v>16.66666666666667</c:v>
                </c:pt>
                <c:pt idx="12">
                  <c:v>15.38461538461538</c:v>
                </c:pt>
                <c:pt idx="13">
                  <c:v>14.28571428571429</c:v>
                </c:pt>
                <c:pt idx="14">
                  <c:v>13.33333333333333</c:v>
                </c:pt>
                <c:pt idx="15">
                  <c:v>12.5</c:v>
                </c:pt>
                <c:pt idx="16">
                  <c:v>11.76470588235294</c:v>
                </c:pt>
                <c:pt idx="17">
                  <c:v>11.11111111111111</c:v>
                </c:pt>
                <c:pt idx="18">
                  <c:v>10.52631578947368</c:v>
                </c:pt>
                <c:pt idx="19">
                  <c:v>10.0</c:v>
                </c:pt>
                <c:pt idx="20">
                  <c:v>9.523809523809523</c:v>
                </c:pt>
                <c:pt idx="21">
                  <c:v>9.09090909090909</c:v>
                </c:pt>
                <c:pt idx="22">
                  <c:v>8.695652173913042</c:v>
                </c:pt>
                <c:pt idx="23">
                  <c:v>8.333333333333333</c:v>
                </c:pt>
                <c:pt idx="24">
                  <c:v>8.0</c:v>
                </c:pt>
                <c:pt idx="25">
                  <c:v>7.692307692307692</c:v>
                </c:pt>
                <c:pt idx="26">
                  <c:v>7.407407407407407</c:v>
                </c:pt>
                <c:pt idx="27">
                  <c:v>7.142857142857143</c:v>
                </c:pt>
                <c:pt idx="28">
                  <c:v>6.896551724137931</c:v>
                </c:pt>
                <c:pt idx="29">
                  <c:v>6.666666666666667</c:v>
                </c:pt>
                <c:pt idx="30">
                  <c:v>6.451612903225806</c:v>
                </c:pt>
                <c:pt idx="31">
                  <c:v>6.25</c:v>
                </c:pt>
                <c:pt idx="32">
                  <c:v>6.060606060606061</c:v>
                </c:pt>
                <c:pt idx="33">
                  <c:v>5.882352941176471</c:v>
                </c:pt>
                <c:pt idx="34">
                  <c:v>5.714285714285714</c:v>
                </c:pt>
                <c:pt idx="35">
                  <c:v>5.555555555555555</c:v>
                </c:pt>
                <c:pt idx="36">
                  <c:v>5.405405405405405</c:v>
                </c:pt>
                <c:pt idx="37">
                  <c:v>5.263157894736842</c:v>
                </c:pt>
                <c:pt idx="38">
                  <c:v>5.128205128205129</c:v>
                </c:pt>
                <c:pt idx="39">
                  <c:v>5.0</c:v>
                </c:pt>
                <c:pt idx="40">
                  <c:v>4.878048780487804</c:v>
                </c:pt>
                <c:pt idx="41">
                  <c:v>4.761904761904762</c:v>
                </c:pt>
                <c:pt idx="42">
                  <c:v>4.651162790697674</c:v>
                </c:pt>
                <c:pt idx="43">
                  <c:v>4.545454545454546</c:v>
                </c:pt>
                <c:pt idx="44">
                  <c:v>4.444444444444444</c:v>
                </c:pt>
                <c:pt idx="45">
                  <c:v>4.347826086956521</c:v>
                </c:pt>
                <c:pt idx="46">
                  <c:v>4.25531914893617</c:v>
                </c:pt>
                <c:pt idx="47">
                  <c:v>4.166666666666667</c:v>
                </c:pt>
                <c:pt idx="48">
                  <c:v>4.081632653061224</c:v>
                </c:pt>
                <c:pt idx="49">
                  <c:v>4.0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'Basic Model'!$AA$2</c:f>
              <c:strCache>
                <c:ptCount val="1"/>
                <c:pt idx="0">
                  <c:v>ICT</c:v>
                </c:pt>
              </c:strCache>
            </c:strRef>
          </c:tx>
          <c:spPr>
            <a:ln w="25400">
              <a:solidFill>
                <a:srgbClr val="3366FF"/>
              </a:solidFill>
              <a:prstDash val="solid"/>
            </a:ln>
          </c:spPr>
          <c:marker>
            <c:symbol val="none"/>
          </c:marker>
          <c:dLbls>
            <c:dLbl>
              <c:idx val="49"/>
              <c:layout/>
              <c:tx>
                <c:rich>
                  <a:bodyPr/>
                  <a:lstStyle/>
                  <a:p>
                    <a:pPr>
                      <a:defRPr sz="875" b="1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sz="875" b="1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IC</a:t>
                    </a:r>
                    <a:r>
                      <a:rPr lang="en-US" sz="900" b="1" i="0" u="none" strike="noStrike" baseline="-2500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T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'Basic Model'!$Y$3:$Y$52</c:f>
              <c:numCache>
                <c:formatCode>General</c:formatCode>
                <c:ptCount val="5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</c:numCache>
            </c:numRef>
          </c:xVal>
          <c:yVal>
            <c:numRef>
              <c:f>'Basic Model'!$AA$3:$AA$52</c:f>
              <c:numCache>
                <c:formatCode>0.0</c:formatCode>
                <c:ptCount val="50"/>
                <c:pt idx="0">
                  <c:v>444.4444444444445</c:v>
                </c:pt>
                <c:pt idx="1">
                  <c:v>222.2222222222222</c:v>
                </c:pt>
                <c:pt idx="2">
                  <c:v>148.1481481481482</c:v>
                </c:pt>
                <c:pt idx="3">
                  <c:v>111.1111111111111</c:v>
                </c:pt>
                <c:pt idx="4">
                  <c:v>88.88888888888889</c:v>
                </c:pt>
                <c:pt idx="5">
                  <c:v>74.07407407407408</c:v>
                </c:pt>
                <c:pt idx="6">
                  <c:v>63.49206349206349</c:v>
                </c:pt>
                <c:pt idx="7">
                  <c:v>55.55555555555556</c:v>
                </c:pt>
                <c:pt idx="8">
                  <c:v>49.38271604938272</c:v>
                </c:pt>
                <c:pt idx="9">
                  <c:v>44.44444444444444</c:v>
                </c:pt>
                <c:pt idx="10">
                  <c:v>40.40404040404041</c:v>
                </c:pt>
                <c:pt idx="11">
                  <c:v>37.03703703703704</c:v>
                </c:pt>
                <c:pt idx="12">
                  <c:v>34.18803418803419</c:v>
                </c:pt>
                <c:pt idx="13">
                  <c:v>31.74603174603175</c:v>
                </c:pt>
                <c:pt idx="14">
                  <c:v>29.62962962962963</c:v>
                </c:pt>
                <c:pt idx="15">
                  <c:v>27.77777777777778</c:v>
                </c:pt>
                <c:pt idx="16">
                  <c:v>26.1437908496732</c:v>
                </c:pt>
                <c:pt idx="17">
                  <c:v>24.69135802469136</c:v>
                </c:pt>
                <c:pt idx="18">
                  <c:v>23.39181286549708</c:v>
                </c:pt>
                <c:pt idx="19">
                  <c:v>22.22222222222222</c:v>
                </c:pt>
                <c:pt idx="20">
                  <c:v>21.16402116402116</c:v>
                </c:pt>
                <c:pt idx="21">
                  <c:v>20.2020202020202</c:v>
                </c:pt>
                <c:pt idx="22">
                  <c:v>19.32367149758454</c:v>
                </c:pt>
                <c:pt idx="23">
                  <c:v>18.51851851851852</c:v>
                </c:pt>
                <c:pt idx="24">
                  <c:v>17.77777777777778</c:v>
                </c:pt>
                <c:pt idx="25">
                  <c:v>17.09401709401709</c:v>
                </c:pt>
                <c:pt idx="26">
                  <c:v>16.46090534979424</c:v>
                </c:pt>
                <c:pt idx="27">
                  <c:v>15.87301587301587</c:v>
                </c:pt>
                <c:pt idx="28">
                  <c:v>15.3256704980843</c:v>
                </c:pt>
                <c:pt idx="29">
                  <c:v>14.81481481481481</c:v>
                </c:pt>
                <c:pt idx="30">
                  <c:v>14.33691756272401</c:v>
                </c:pt>
                <c:pt idx="31">
                  <c:v>13.88888888888889</c:v>
                </c:pt>
                <c:pt idx="32">
                  <c:v>13.46801346801347</c:v>
                </c:pt>
                <c:pt idx="33">
                  <c:v>13.0718954248366</c:v>
                </c:pt>
                <c:pt idx="34">
                  <c:v>12.6984126984127</c:v>
                </c:pt>
                <c:pt idx="35">
                  <c:v>12.34567901234568</c:v>
                </c:pt>
                <c:pt idx="36">
                  <c:v>12.01201201201201</c:v>
                </c:pt>
                <c:pt idx="37">
                  <c:v>11.69590643274854</c:v>
                </c:pt>
                <c:pt idx="38">
                  <c:v>11.3960113960114</c:v>
                </c:pt>
                <c:pt idx="39">
                  <c:v>11.11111111111111</c:v>
                </c:pt>
                <c:pt idx="40">
                  <c:v>10.84010840108401</c:v>
                </c:pt>
                <c:pt idx="41">
                  <c:v>10.58201058201058</c:v>
                </c:pt>
                <c:pt idx="42">
                  <c:v>10.3359173126615</c:v>
                </c:pt>
                <c:pt idx="43">
                  <c:v>10.1010101010101</c:v>
                </c:pt>
                <c:pt idx="44">
                  <c:v>9.87654320987654</c:v>
                </c:pt>
                <c:pt idx="45">
                  <c:v>9.661835748792271</c:v>
                </c:pt>
                <c:pt idx="46">
                  <c:v>9.45626477541371</c:v>
                </c:pt>
                <c:pt idx="47">
                  <c:v>9.25925925925926</c:v>
                </c:pt>
                <c:pt idx="48">
                  <c:v>9.070294784580498</c:v>
                </c:pt>
                <c:pt idx="49">
                  <c:v>8.88888888888889</c:v>
                </c:pt>
              </c:numCache>
            </c:numRef>
          </c:yVal>
          <c:smooth val="0"/>
        </c:ser>
        <c:ser>
          <c:idx val="2"/>
          <c:order val="4"/>
          <c:tx>
            <c:strRef>
              <c:f>'Basic Model'!$T$20</c:f>
              <c:strCache>
                <c:ptCount val="1"/>
                <c:pt idx="0">
                  <c:v>Home Offer Curve</c:v>
                </c:pt>
              </c:strCache>
            </c:strRef>
          </c:tx>
          <c:spPr>
            <a:ln w="44450">
              <a:solidFill>
                <a:srgbClr val="00B050"/>
              </a:solidFill>
            </a:ln>
          </c:spPr>
          <c:marker>
            <c:symbol val="diamond"/>
            <c:size val="8"/>
            <c:spPr>
              <a:solidFill>
                <a:srgbClr val="1FB714"/>
              </a:solidFill>
              <a:ln w="53975">
                <a:solidFill>
                  <a:srgbClr val="339966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0.0621139485983163"/>
                  <c:y val="0.0056063917455833"/>
                </c:manualLayout>
              </c:layout>
              <c:tx>
                <c:rich>
                  <a:bodyPr/>
                  <a:lstStyle/>
                  <a:p>
                    <a:pPr>
                      <a:defRPr sz="875" b="1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0185635903433404"/>
                  <c:y val="-0.0338865650916509"/>
                </c:manualLayout>
              </c:layout>
              <c:tx>
                <c:rich>
                  <a:bodyPr/>
                  <a:lstStyle/>
                  <a:p>
                    <a:pPr>
                      <a:defRPr sz="1075" b="1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'Basic Model'!$T$21:$T$24</c:f>
              <c:numCache>
                <c:formatCode>General</c:formatCode>
                <c:ptCount val="4"/>
                <c:pt idx="0">
                  <c:v>0.0</c:v>
                </c:pt>
                <c:pt idx="1">
                  <c:v>10.0</c:v>
                </c:pt>
                <c:pt idx="2" formatCode="0">
                  <c:v>22.22222222222222</c:v>
                </c:pt>
                <c:pt idx="3" formatCode="0">
                  <c:v>27.22222222222222</c:v>
                </c:pt>
              </c:numCache>
            </c:numRef>
          </c:xVal>
          <c:yVal>
            <c:numRef>
              <c:f>'Basic Model'!$U$21:$U$24</c:f>
              <c:numCache>
                <c:formatCode>0.0</c:formatCode>
                <c:ptCount val="4"/>
                <c:pt idx="0" formatCode="General">
                  <c:v>40.0</c:v>
                </c:pt>
                <c:pt idx="1">
                  <c:v>20.0</c:v>
                </c:pt>
                <c:pt idx="2">
                  <c:v>20.0</c:v>
                </c:pt>
                <c:pt idx="3" formatCode="General">
                  <c:v>20.0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46362208"/>
        <c:axId val="-646425760"/>
      </c:scatterChart>
      <c:valAx>
        <c:axId val="-646362208"/>
        <c:scaling>
          <c:orientation val="minMax"/>
          <c:max val="60.0"/>
          <c:min val="0.0"/>
        </c:scaling>
        <c:delete val="0"/>
        <c:axPos val="b"/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X</a:t>
                </a:r>
              </a:p>
            </c:rich>
          </c:tx>
          <c:layout>
            <c:manualLayout>
              <c:xMode val="edge"/>
              <c:yMode val="edge"/>
              <c:x val="0.965377053009387"/>
              <c:y val="0.85716944471008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-646425760"/>
        <c:crosses val="autoZero"/>
        <c:crossBetween val="midCat"/>
      </c:valAx>
      <c:valAx>
        <c:axId val="-646425760"/>
        <c:scaling>
          <c:orientation val="minMax"/>
          <c:max val="60.0"/>
          <c:min val="0.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tr-TR"/>
                  <a:t>Y</a:t>
                </a:r>
              </a:p>
            </c:rich>
          </c:tx>
          <c:layout>
            <c:manualLayout>
              <c:xMode val="edge"/>
              <c:yMode val="edge"/>
              <c:x val="0.0544571670928372"/>
              <c:y val="0.039813881311670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-646362208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00ABEA" mc:Ignorable="a14" a14:legacySpreadsheetColorIndex="15"/>
        </a:gs>
        <a:gs pos="100000">
          <a:srgbClr xmlns:mc="http://schemas.openxmlformats.org/markup-compatibility/2006" xmlns:a14="http://schemas.microsoft.com/office/drawing/2010/main" val="CCFFFF" mc:Ignorable="a14" a14:legacySpreadsheetColorIndex="41"/>
        </a:gs>
      </a:gsLst>
      <a:lin ang="5400000" scaled="1"/>
    </a:gra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0.75" l="0.7" r="0.7" t="0.75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938542008128213"/>
          <c:y val="0.0912892779394671"/>
          <c:w val="0.841451455563225"/>
          <c:h val="0.742762761416573"/>
        </c:manualLayout>
      </c:layout>
      <c:scatterChart>
        <c:scatterStyle val="lineMarker"/>
        <c:varyColors val="0"/>
        <c:ser>
          <c:idx val="0"/>
          <c:order val="0"/>
          <c:tx>
            <c:strRef>
              <c:f>'Trade Equilibrium'!$V$1</c:f>
              <c:strCache>
                <c:ptCount val="1"/>
                <c:pt idx="0">
                  <c:v>PPCH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0.0420717763702306"/>
                  <c:y val="0.0205075953052742"/>
                </c:manualLayout>
              </c:layout>
              <c:tx>
                <c:rich>
                  <a:bodyPr/>
                  <a:lstStyle/>
                  <a:p>
                    <a:pPr>
                      <a:defRPr sz="1625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N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Equilibrium'!$V$3:$V$4</c:f>
              <c:numCache>
                <c:formatCode>General</c:formatCode>
                <c:ptCount val="2"/>
                <c:pt idx="0">
                  <c:v>0.0</c:v>
                </c:pt>
                <c:pt idx="1">
                  <c:v>20.0</c:v>
                </c:pt>
              </c:numCache>
            </c:numRef>
          </c:xVal>
          <c:yVal>
            <c:numRef>
              <c:f>'Trade Equilibrium'!$W$3:$W$4</c:f>
              <c:numCache>
                <c:formatCode>General</c:formatCode>
                <c:ptCount val="2"/>
                <c:pt idx="0">
                  <c:v>40.0</c:v>
                </c:pt>
                <c:pt idx="1">
                  <c:v>0.0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'Trade Equilibrium'!$AG$1</c:f>
              <c:strCache>
                <c:ptCount val="1"/>
                <c:pt idx="0">
                  <c:v>ICHA</c:v>
                </c:pt>
              </c:strCache>
            </c:strRef>
          </c:tx>
          <c:spPr>
            <a:ln w="25400">
              <a:solidFill>
                <a:srgbClr val="000090"/>
              </a:solidFill>
              <a:prstDash val="solid"/>
            </a:ln>
          </c:spPr>
          <c:marker>
            <c:symbol val="none"/>
          </c:marker>
          <c:dLbls>
            <c:dLbl>
              <c:idx val="24"/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IC</a:t>
                    </a:r>
                    <a:r>
                      <a:rPr lang="en-US" sz="1850" b="1" i="0" u="none" strike="noStrike" baseline="-25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A</a:t>
                    </a:r>
                    <a:r>
                      <a:rPr lang="en-US" sz="1850" b="1" i="0" u="none" strike="noStrike" baseline="30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H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Equilibrium'!$AF$3:$AF$27</c:f>
              <c:numCache>
                <c:formatCode>General</c:formatCode>
                <c:ptCount val="2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</c:numCache>
            </c:numRef>
          </c:xVal>
          <c:yVal>
            <c:numRef>
              <c:f>'Trade Equilibrium'!$AG$3:$AG$27</c:f>
              <c:numCache>
                <c:formatCode>0.0</c:formatCode>
                <c:ptCount val="25"/>
                <c:pt idx="0">
                  <c:v>200.0</c:v>
                </c:pt>
                <c:pt idx="1">
                  <c:v>100.0</c:v>
                </c:pt>
                <c:pt idx="2">
                  <c:v>66.66666666666667</c:v>
                </c:pt>
                <c:pt idx="3">
                  <c:v>50.0</c:v>
                </c:pt>
                <c:pt idx="4">
                  <c:v>40.0</c:v>
                </c:pt>
                <c:pt idx="5">
                  <c:v>33.33333333333334</c:v>
                </c:pt>
                <c:pt idx="6">
                  <c:v>28.57142857142857</c:v>
                </c:pt>
                <c:pt idx="7">
                  <c:v>25.0</c:v>
                </c:pt>
                <c:pt idx="8">
                  <c:v>22.22222222222222</c:v>
                </c:pt>
                <c:pt idx="9">
                  <c:v>20.0</c:v>
                </c:pt>
                <c:pt idx="10">
                  <c:v>18.18181818181818</c:v>
                </c:pt>
                <c:pt idx="11">
                  <c:v>16.66666666666667</c:v>
                </c:pt>
                <c:pt idx="12">
                  <c:v>15.38461538461538</c:v>
                </c:pt>
                <c:pt idx="13">
                  <c:v>14.28571428571429</c:v>
                </c:pt>
                <c:pt idx="14">
                  <c:v>13.33333333333333</c:v>
                </c:pt>
                <c:pt idx="15">
                  <c:v>12.5</c:v>
                </c:pt>
                <c:pt idx="16">
                  <c:v>11.76470588235294</c:v>
                </c:pt>
                <c:pt idx="17">
                  <c:v>11.11111111111111</c:v>
                </c:pt>
                <c:pt idx="18">
                  <c:v>10.52631578947368</c:v>
                </c:pt>
                <c:pt idx="19">
                  <c:v>10.0</c:v>
                </c:pt>
                <c:pt idx="20">
                  <c:v>9.523809523809523</c:v>
                </c:pt>
                <c:pt idx="21">
                  <c:v>9.09090909090909</c:v>
                </c:pt>
                <c:pt idx="22">
                  <c:v>8.695652173913042</c:v>
                </c:pt>
                <c:pt idx="23">
                  <c:v>8.333333333333333</c:v>
                </c:pt>
                <c:pt idx="24">
                  <c:v>8.0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'Trade Equilibrium'!$V$10</c:f>
              <c:strCache>
                <c:ptCount val="1"/>
                <c:pt idx="0">
                  <c:v>Home Budget line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</a:ln>
          </c:spPr>
          <c:marker>
            <c:symbol val="none"/>
          </c:marker>
          <c:dLbls>
            <c:dLbl>
              <c:idx val="1"/>
              <c:layout>
                <c:manualLayout>
                  <c:x val="-0.0210355496241769"/>
                  <c:y val="-0.00958195708121478"/>
                </c:manualLayout>
              </c:layout>
              <c:tx>
                <c:rich>
                  <a:bodyPr/>
                  <a:lstStyle/>
                  <a:p>
                    <a:pPr>
                      <a:defRPr sz="1425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 sz="1425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P</a:t>
                    </a:r>
                    <a:r>
                      <a:rPr lang="en-US" sz="1425" b="1" i="0" u="none" strike="noStrike" baseline="-25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W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Equilibrium'!$V$12:$V$13</c:f>
              <c:numCache>
                <c:formatCode>0.0</c:formatCode>
                <c:ptCount val="2"/>
                <c:pt idx="0" formatCode="General">
                  <c:v>0.0</c:v>
                </c:pt>
                <c:pt idx="1">
                  <c:v>45.0</c:v>
                </c:pt>
              </c:numCache>
            </c:numRef>
          </c:xVal>
          <c:yVal>
            <c:numRef>
              <c:f>'Trade Equilibrium'!$W$12:$W$13</c:f>
              <c:numCache>
                <c:formatCode>General</c:formatCode>
                <c:ptCount val="2"/>
                <c:pt idx="0">
                  <c:v>40.0</c:v>
                </c:pt>
                <c:pt idx="1">
                  <c:v>4.0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'Trade Equilibrium'!$AH$1</c:f>
              <c:strCache>
                <c:ptCount val="1"/>
                <c:pt idx="0">
                  <c:v>ICHT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47"/>
              <c:layout>
                <c:manualLayout>
                  <c:xMode val="edge"/>
                  <c:yMode val="edge"/>
                  <c:x val="0.825269696802394"/>
                  <c:y val="0.510390053934293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IC</a:t>
                    </a:r>
                    <a:r>
                      <a:rPr lang="en-US" sz="1850" b="1" i="0" u="none" strike="noStrike" baseline="-25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W</a:t>
                    </a:r>
                    <a:r>
                      <a:rPr lang="en-US" sz="1850" b="1" i="0" u="none" strike="noStrike" baseline="30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F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Equilibrium'!$AF$3:$AF$27</c:f>
              <c:numCache>
                <c:formatCode>General</c:formatCode>
                <c:ptCount val="25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</c:numCache>
            </c:numRef>
          </c:xVal>
          <c:yVal>
            <c:numRef>
              <c:f>'Trade Equilibrium'!$AH$3:$AH$50</c:f>
              <c:numCache>
                <c:formatCode>0.0</c:formatCode>
                <c:ptCount val="48"/>
                <c:pt idx="0">
                  <c:v>500.0</c:v>
                </c:pt>
                <c:pt idx="1">
                  <c:v>250.0</c:v>
                </c:pt>
                <c:pt idx="2">
                  <c:v>166.6666666666667</c:v>
                </c:pt>
                <c:pt idx="3">
                  <c:v>125.0</c:v>
                </c:pt>
                <c:pt idx="4">
                  <c:v>100.0</c:v>
                </c:pt>
                <c:pt idx="5">
                  <c:v>83.33333333333333</c:v>
                </c:pt>
                <c:pt idx="6">
                  <c:v>71.42857142857143</c:v>
                </c:pt>
                <c:pt idx="7">
                  <c:v>62.5</c:v>
                </c:pt>
                <c:pt idx="8">
                  <c:v>55.55555555555556</c:v>
                </c:pt>
                <c:pt idx="9">
                  <c:v>50.0</c:v>
                </c:pt>
                <c:pt idx="10">
                  <c:v>45.45454545454545</c:v>
                </c:pt>
                <c:pt idx="11">
                  <c:v>41.66666666666666</c:v>
                </c:pt>
                <c:pt idx="12">
                  <c:v>38.46153846153846</c:v>
                </c:pt>
                <c:pt idx="13">
                  <c:v>35.71428571428572</c:v>
                </c:pt>
                <c:pt idx="14">
                  <c:v>33.33333333333334</c:v>
                </c:pt>
                <c:pt idx="15">
                  <c:v>31.25</c:v>
                </c:pt>
                <c:pt idx="16">
                  <c:v>29.41176470588235</c:v>
                </c:pt>
                <c:pt idx="17">
                  <c:v>27.77777777777778</c:v>
                </c:pt>
                <c:pt idx="18">
                  <c:v>26.31578947368421</c:v>
                </c:pt>
                <c:pt idx="19">
                  <c:v>25.0</c:v>
                </c:pt>
                <c:pt idx="20">
                  <c:v>23.80952380952381</c:v>
                </c:pt>
                <c:pt idx="21">
                  <c:v>22.72727272727273</c:v>
                </c:pt>
                <c:pt idx="22">
                  <c:v>21.73913043478261</c:v>
                </c:pt>
                <c:pt idx="23">
                  <c:v>20.83333333333333</c:v>
                </c:pt>
                <c:pt idx="24">
                  <c:v>20.0</c:v>
                </c:pt>
                <c:pt idx="25">
                  <c:v>19.23076923076923</c:v>
                </c:pt>
                <c:pt idx="26">
                  <c:v>18.51851851851852</c:v>
                </c:pt>
                <c:pt idx="27">
                  <c:v>17.85714285714286</c:v>
                </c:pt>
                <c:pt idx="28">
                  <c:v>17.24137931034483</c:v>
                </c:pt>
                <c:pt idx="29">
                  <c:v>16.66666666666667</c:v>
                </c:pt>
                <c:pt idx="30">
                  <c:v>16.12903225806452</c:v>
                </c:pt>
                <c:pt idx="31">
                  <c:v>15.625</c:v>
                </c:pt>
                <c:pt idx="32">
                  <c:v>15.15151515151515</c:v>
                </c:pt>
                <c:pt idx="33">
                  <c:v>14.70588235294118</c:v>
                </c:pt>
                <c:pt idx="34">
                  <c:v>14.28571428571429</c:v>
                </c:pt>
                <c:pt idx="35">
                  <c:v>13.88888888888889</c:v>
                </c:pt>
                <c:pt idx="36">
                  <c:v>13.51351351351351</c:v>
                </c:pt>
                <c:pt idx="37">
                  <c:v>13.1578947368421</c:v>
                </c:pt>
                <c:pt idx="38">
                  <c:v>12.82051282051282</c:v>
                </c:pt>
                <c:pt idx="39">
                  <c:v>12.5</c:v>
                </c:pt>
                <c:pt idx="40">
                  <c:v>12.19512195121951</c:v>
                </c:pt>
                <c:pt idx="41">
                  <c:v>11.90476190476191</c:v>
                </c:pt>
                <c:pt idx="42">
                  <c:v>11.62790697674419</c:v>
                </c:pt>
                <c:pt idx="43">
                  <c:v>11.36363636363636</c:v>
                </c:pt>
                <c:pt idx="44">
                  <c:v>11.11111111111111</c:v>
                </c:pt>
                <c:pt idx="45">
                  <c:v>10.8695652173913</c:v>
                </c:pt>
                <c:pt idx="46">
                  <c:v>10.63829787234043</c:v>
                </c:pt>
                <c:pt idx="47">
                  <c:v>10.41666666666667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'Trade Equilibrium'!$V$19</c:f>
              <c:strCache>
                <c:ptCount val="1"/>
                <c:pt idx="0">
                  <c:v>Home Offer Curve</c:v>
                </c:pt>
              </c:strCache>
            </c:strRef>
          </c:tx>
          <c:spPr>
            <a:ln w="25400">
              <a:solidFill>
                <a:srgbClr val="1FB714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6411"/>
              </a:solidFill>
              <a:ln>
                <a:solidFill>
                  <a:srgbClr val="1FB714"/>
                </a:solidFill>
                <a:prstDash val="solid"/>
              </a:ln>
            </c:spPr>
          </c:marker>
          <c:dPt>
            <c:idx val="3"/>
            <c:marker>
              <c:symbol val="diamond"/>
              <c:size val="9"/>
            </c:marker>
            <c:bubble3D val="0"/>
          </c:dPt>
          <c:dLbls>
            <c:dLbl>
              <c:idx val="0"/>
              <c:layout>
                <c:manualLayout>
                  <c:x val="-0.0631080554296454"/>
                  <c:y val="-0.0620215594200193"/>
                </c:manualLayout>
              </c:layout>
              <c:tx>
                <c:rich>
                  <a:bodyPr/>
                  <a:lstStyle/>
                  <a:p>
                    <a:pPr>
                      <a:defRPr sz="1625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M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0695808635607004"/>
                  <c:y val="-0.0257158258820668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056635358669603"/>
                  <c:y val="0.0199288130876667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0177990841594956"/>
                  <c:y val="-0.0721395284340463"/>
                </c:manualLayout>
              </c:layout>
              <c:tx>
                <c:rich>
                  <a:bodyPr/>
                  <a:lstStyle/>
                  <a:p>
                    <a:pPr>
                      <a:defRPr sz="1425" b="0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Home's Offecer Curve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Equilibrium'!$V$20:$V$23</c:f>
              <c:numCache>
                <c:formatCode>General</c:formatCode>
                <c:ptCount val="4"/>
                <c:pt idx="0">
                  <c:v>0.0</c:v>
                </c:pt>
                <c:pt idx="1">
                  <c:v>10.0</c:v>
                </c:pt>
                <c:pt idx="2" formatCode="0">
                  <c:v>25.0</c:v>
                </c:pt>
                <c:pt idx="3" formatCode="0">
                  <c:v>30.0</c:v>
                </c:pt>
              </c:numCache>
            </c:numRef>
          </c:xVal>
          <c:yVal>
            <c:numRef>
              <c:f>'Trade Equilibrium'!$W$20:$W$23</c:f>
              <c:numCache>
                <c:formatCode>General</c:formatCode>
                <c:ptCount val="4"/>
                <c:pt idx="0">
                  <c:v>40.0</c:v>
                </c:pt>
                <c:pt idx="1">
                  <c:v>20.0</c:v>
                </c:pt>
                <c:pt idx="2">
                  <c:v>20.0</c:v>
                </c:pt>
                <c:pt idx="3">
                  <c:v>20.0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46694960"/>
        <c:axId val="-646692640"/>
      </c:scatterChart>
      <c:valAx>
        <c:axId val="-646694960"/>
        <c:scaling>
          <c:orientation val="minMax"/>
          <c:max val="50.0"/>
          <c:min val="0.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ngsanaUPC"/>
                <a:ea typeface="AngsanaUPC"/>
                <a:cs typeface="AngsanaUPC"/>
              </a:defRPr>
            </a:pPr>
            <a:endParaRPr lang="en-US"/>
          </a:p>
        </c:txPr>
        <c:crossAx val="-646692640"/>
        <c:crosses val="autoZero"/>
        <c:crossBetween val="midCat"/>
        <c:majorUnit val="10.0"/>
      </c:valAx>
      <c:valAx>
        <c:axId val="-646692640"/>
        <c:scaling>
          <c:orientation val="minMax"/>
          <c:max val="45.0"/>
          <c:min val="0.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ngsanaUPC"/>
                <a:ea typeface="AngsanaUPC"/>
                <a:cs typeface="AngsanaUPC"/>
              </a:defRPr>
            </a:pPr>
            <a:endParaRPr lang="en-US"/>
          </a:p>
        </c:txPr>
        <c:crossAx val="-646694960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00ABEA" mc:Ignorable="a14" a14:legacySpreadsheetColorIndex="15"/>
        </a:gs>
        <a:gs pos="100000">
          <a:srgbClr xmlns:mc="http://schemas.openxmlformats.org/markup-compatibility/2006" xmlns:a14="http://schemas.microsoft.com/office/drawing/2010/main" val="CCFFFF" mc:Ignorable="a14" a14:legacySpreadsheetColorIndex="41"/>
        </a:gs>
      </a:gsLst>
      <a:lin ang="5400000" scaled="1"/>
    </a:gradFill>
    <a:ln w="12700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ngsanaUPC"/>
          <a:ea typeface="AngsanaUPC"/>
          <a:cs typeface="AngsanaUPC"/>
        </a:defRPr>
      </a:pPr>
      <a:endParaRPr lang="en-US"/>
    </a:p>
  </c:txPr>
  <c:printSettings>
    <c:headerFooter/>
    <c:pageMargins b="0.75" l="0.7" r="0.7" t="0.75" header="0.5" footer="0.5"/>
    <c:pageSetup paperSize="9" orientation="landscape" horizontalDpi="1200" verticalDpi="12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965549095379154"/>
          <c:y val="0.095044504504993"/>
          <c:w val="0.848303848083114"/>
          <c:h val="0.743826556995598"/>
        </c:manualLayout>
      </c:layout>
      <c:scatterChart>
        <c:scatterStyle val="lineMarker"/>
        <c:varyColors val="0"/>
        <c:ser>
          <c:idx val="0"/>
          <c:order val="0"/>
          <c:tx>
            <c:strRef>
              <c:f>'Trade Equilibrium'!$AA$1</c:f>
              <c:strCache>
                <c:ptCount val="1"/>
                <c:pt idx="0">
                  <c:v>PPCF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DD0806"/>
              </a:solidFill>
              <a:ln>
                <a:solidFill>
                  <a:srgbClr val="DD080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275863934742654"/>
                  <c:y val="-0.0409636321924189"/>
                </c:manualLayout>
              </c:layout>
              <c:tx>
                <c:rich>
                  <a:bodyPr/>
                  <a:lstStyle/>
                  <a:p>
                    <a:pPr>
                      <a:defRPr sz="16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M*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0510353185804763"/>
                  <c:y val="0.00862481076410548"/>
                </c:manualLayout>
              </c:layout>
              <c:tx>
                <c:rich>
                  <a:bodyPr/>
                  <a:lstStyle/>
                  <a:p>
                    <a:pPr>
                      <a:defRPr sz="16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N*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ngsanaUPC"/>
                    <a:ea typeface="AngsanaUPC"/>
                    <a:cs typeface="AngsanaUPC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Equilibrium'!$AA$3:$AA$4</c:f>
              <c:numCache>
                <c:formatCode>General</c:formatCode>
                <c:ptCount val="2"/>
                <c:pt idx="0">
                  <c:v>0.0</c:v>
                </c:pt>
                <c:pt idx="1">
                  <c:v>40.0</c:v>
                </c:pt>
              </c:numCache>
            </c:numRef>
          </c:xVal>
          <c:yVal>
            <c:numRef>
              <c:f>'Trade Equilibrium'!$AB$3:$AB$4</c:f>
              <c:numCache>
                <c:formatCode>General</c:formatCode>
                <c:ptCount val="2"/>
                <c:pt idx="0">
                  <c:v>20.0</c:v>
                </c:pt>
                <c:pt idx="1">
                  <c:v>0.0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'Trade Equilibrium'!$AI$1</c:f>
              <c:strCache>
                <c:ptCount val="1"/>
                <c:pt idx="0">
                  <c:v>ICFA</c:v>
                </c:pt>
              </c:strCache>
            </c:strRef>
          </c:tx>
          <c:spPr>
            <a:ln w="25400">
              <a:solidFill>
                <a:srgbClr val="000090"/>
              </a:solidFill>
              <a:prstDash val="solid"/>
            </a:ln>
          </c:spPr>
          <c:marker>
            <c:symbol val="none"/>
          </c:marker>
          <c:dLbls>
            <c:dLbl>
              <c:idx val="69"/>
              <c:layout>
                <c:manualLayout>
                  <c:xMode val="edge"/>
                  <c:yMode val="edge"/>
                  <c:x val="0.84485545845676"/>
                  <c:y val="0.661179161773864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IC</a:t>
                    </a:r>
                    <a:r>
                      <a:rPr lang="en-US" sz="1850" b="1" i="0" u="none" strike="noStrike" baseline="-25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A</a:t>
                    </a:r>
                    <a:r>
                      <a:rPr lang="en-US" sz="12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rPr>
                      <a:t>F</a:t>
                    </a:r>
                    <a:endParaRPr lang="en-US" sz="1200" b="0" i="0" u="none" strike="noStrike" baseline="0">
                      <a:latin typeface="Calibri"/>
                      <a:ea typeface="Calibri"/>
                      <a:cs typeface="Calibri"/>
                    </a:endParaRP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Equilibrium'!$AF$3:$AF$72</c:f>
              <c:numCache>
                <c:formatCode>General</c:formatCode>
                <c:ptCount val="7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</c:numCache>
            </c:numRef>
          </c:xVal>
          <c:yVal>
            <c:numRef>
              <c:f>'Trade Equilibrium'!$AI$3:$AI$72</c:f>
              <c:numCache>
                <c:formatCode>0.0</c:formatCode>
                <c:ptCount val="70"/>
                <c:pt idx="0">
                  <c:v>200.0</c:v>
                </c:pt>
                <c:pt idx="1">
                  <c:v>100.0</c:v>
                </c:pt>
                <c:pt idx="2">
                  <c:v>66.66666666666667</c:v>
                </c:pt>
                <c:pt idx="3">
                  <c:v>50.0</c:v>
                </c:pt>
                <c:pt idx="4">
                  <c:v>40.0</c:v>
                </c:pt>
                <c:pt idx="5">
                  <c:v>33.33333333333334</c:v>
                </c:pt>
                <c:pt idx="6">
                  <c:v>28.57142857142857</c:v>
                </c:pt>
                <c:pt idx="7">
                  <c:v>25.0</c:v>
                </c:pt>
                <c:pt idx="8">
                  <c:v>22.22222222222222</c:v>
                </c:pt>
                <c:pt idx="9">
                  <c:v>20.0</c:v>
                </c:pt>
                <c:pt idx="10">
                  <c:v>18.18181818181818</c:v>
                </c:pt>
                <c:pt idx="11">
                  <c:v>16.66666666666667</c:v>
                </c:pt>
                <c:pt idx="12">
                  <c:v>15.38461538461538</c:v>
                </c:pt>
                <c:pt idx="13">
                  <c:v>14.28571428571429</c:v>
                </c:pt>
                <c:pt idx="14">
                  <c:v>13.33333333333333</c:v>
                </c:pt>
                <c:pt idx="15">
                  <c:v>12.5</c:v>
                </c:pt>
                <c:pt idx="16">
                  <c:v>11.76470588235294</c:v>
                </c:pt>
                <c:pt idx="17">
                  <c:v>11.11111111111111</c:v>
                </c:pt>
                <c:pt idx="18">
                  <c:v>10.52631578947368</c:v>
                </c:pt>
                <c:pt idx="19">
                  <c:v>10.0</c:v>
                </c:pt>
                <c:pt idx="20">
                  <c:v>9.523809523809523</c:v>
                </c:pt>
                <c:pt idx="21">
                  <c:v>9.09090909090909</c:v>
                </c:pt>
                <c:pt idx="22">
                  <c:v>8.695652173913042</c:v>
                </c:pt>
                <c:pt idx="23">
                  <c:v>8.333333333333333</c:v>
                </c:pt>
                <c:pt idx="24">
                  <c:v>8.0</c:v>
                </c:pt>
                <c:pt idx="25">
                  <c:v>7.692307692307692</c:v>
                </c:pt>
                <c:pt idx="26">
                  <c:v>7.407407407407407</c:v>
                </c:pt>
                <c:pt idx="27">
                  <c:v>7.142857142857143</c:v>
                </c:pt>
                <c:pt idx="28">
                  <c:v>6.896551724137931</c:v>
                </c:pt>
                <c:pt idx="29">
                  <c:v>6.666666666666667</c:v>
                </c:pt>
                <c:pt idx="30">
                  <c:v>6.451612903225806</c:v>
                </c:pt>
                <c:pt idx="31">
                  <c:v>6.25</c:v>
                </c:pt>
                <c:pt idx="32">
                  <c:v>6.060606060606061</c:v>
                </c:pt>
                <c:pt idx="33">
                  <c:v>5.882352941176471</c:v>
                </c:pt>
                <c:pt idx="34">
                  <c:v>5.714285714285714</c:v>
                </c:pt>
                <c:pt idx="35">
                  <c:v>5.555555555555555</c:v>
                </c:pt>
                <c:pt idx="36">
                  <c:v>5.405405405405405</c:v>
                </c:pt>
                <c:pt idx="37">
                  <c:v>5.263157894736842</c:v>
                </c:pt>
                <c:pt idx="38">
                  <c:v>5.128205128205129</c:v>
                </c:pt>
                <c:pt idx="39">
                  <c:v>5.0</c:v>
                </c:pt>
                <c:pt idx="40">
                  <c:v>4.878048780487804</c:v>
                </c:pt>
                <c:pt idx="41">
                  <c:v>4.761904761904762</c:v>
                </c:pt>
                <c:pt idx="42">
                  <c:v>4.651162790697674</c:v>
                </c:pt>
                <c:pt idx="43">
                  <c:v>4.545454545454546</c:v>
                </c:pt>
                <c:pt idx="44">
                  <c:v>4.444444444444444</c:v>
                </c:pt>
                <c:pt idx="45">
                  <c:v>4.347826086956521</c:v>
                </c:pt>
                <c:pt idx="46">
                  <c:v>4.25531914893617</c:v>
                </c:pt>
                <c:pt idx="47">
                  <c:v>4.166666666666667</c:v>
                </c:pt>
                <c:pt idx="48">
                  <c:v>4.081632653061224</c:v>
                </c:pt>
                <c:pt idx="49">
                  <c:v>4.0</c:v>
                </c:pt>
                <c:pt idx="50">
                  <c:v>3.92156862745098</c:v>
                </c:pt>
                <c:pt idx="51">
                  <c:v>3.846153846153846</c:v>
                </c:pt>
                <c:pt idx="52">
                  <c:v>3.773584905660377</c:v>
                </c:pt>
                <c:pt idx="53">
                  <c:v>3.703703703703704</c:v>
                </c:pt>
                <c:pt idx="54">
                  <c:v>3.636363636363636</c:v>
                </c:pt>
                <c:pt idx="55">
                  <c:v>3.571428571428572</c:v>
                </c:pt>
                <c:pt idx="56">
                  <c:v>3.508771929824561</c:v>
                </c:pt>
                <c:pt idx="57">
                  <c:v>3.448275862068965</c:v>
                </c:pt>
                <c:pt idx="58">
                  <c:v>3.389830508474576</c:v>
                </c:pt>
                <c:pt idx="59">
                  <c:v>3.333333333333333</c:v>
                </c:pt>
                <c:pt idx="60">
                  <c:v>3.278688524590164</c:v>
                </c:pt>
                <c:pt idx="61">
                  <c:v>3.225806451612903</c:v>
                </c:pt>
                <c:pt idx="62">
                  <c:v>3.174603174603174</c:v>
                </c:pt>
                <c:pt idx="63">
                  <c:v>3.125</c:v>
                </c:pt>
                <c:pt idx="64">
                  <c:v>3.076923076923077</c:v>
                </c:pt>
                <c:pt idx="65">
                  <c:v>3.03030303030303</c:v>
                </c:pt>
                <c:pt idx="66">
                  <c:v>2.985074626865672</c:v>
                </c:pt>
                <c:pt idx="67">
                  <c:v>2.941176470588235</c:v>
                </c:pt>
                <c:pt idx="68">
                  <c:v>2.898550724637681</c:v>
                </c:pt>
                <c:pt idx="69">
                  <c:v>2.857142857142857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'Trade Equilibrium'!$AA$10</c:f>
              <c:strCache>
                <c:ptCount val="1"/>
                <c:pt idx="0">
                  <c:v>Foreign Budget line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</a:ln>
          </c:spPr>
          <c:marker>
            <c:symbol val="none"/>
          </c:marker>
          <c:xVal>
            <c:numRef>
              <c:f>'Trade Equilibrium'!$AA$12:$AA$13</c:f>
              <c:numCache>
                <c:formatCode>0.0</c:formatCode>
                <c:ptCount val="2"/>
                <c:pt idx="0" formatCode="General">
                  <c:v>0.0</c:v>
                </c:pt>
                <c:pt idx="1">
                  <c:v>40.0</c:v>
                </c:pt>
              </c:numCache>
            </c:numRef>
          </c:xVal>
          <c:yVal>
            <c:numRef>
              <c:f>'Trade Equilibrium'!$AB$12:$AB$13</c:f>
              <c:numCache>
                <c:formatCode>General</c:formatCode>
                <c:ptCount val="2"/>
                <c:pt idx="0">
                  <c:v>32.0</c:v>
                </c:pt>
                <c:pt idx="1">
                  <c:v>0.0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'Trade Equilibrium'!$AJ$1</c:f>
              <c:strCache>
                <c:ptCount val="1"/>
                <c:pt idx="0">
                  <c:v>ICFT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none"/>
          </c:marker>
          <c:dLbls>
            <c:dLbl>
              <c:idx val="69"/>
              <c:layout>
                <c:manualLayout>
                  <c:xMode val="edge"/>
                  <c:yMode val="edge"/>
                  <c:x val="0.841407068830406"/>
                  <c:y val="0.570267027029958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IC</a:t>
                    </a:r>
                    <a:r>
                      <a:rPr lang="en-US" sz="1850" b="1" i="0" u="none" strike="noStrike" baseline="-25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W</a:t>
                    </a:r>
                    <a:r>
                      <a:rPr lang="en-US" sz="1200" b="0" i="0" u="none" strike="noStrike" baseline="0">
                        <a:solidFill>
                          <a:srgbClr val="000000"/>
                        </a:solidFill>
                        <a:latin typeface="Calibri"/>
                        <a:ea typeface="Calibri"/>
                        <a:cs typeface="Calibri"/>
                      </a:rPr>
                      <a:t>F</a:t>
                    </a:r>
                    <a:endParaRPr lang="en-US" sz="1200" b="0" i="0" u="none" strike="noStrike" baseline="0">
                      <a:latin typeface="Calibri"/>
                      <a:ea typeface="Calibri"/>
                      <a:cs typeface="Calibri"/>
                    </a:endParaRP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Equilibrium'!$AF$3:$AF$72</c:f>
              <c:numCache>
                <c:formatCode>General</c:formatCode>
                <c:ptCount val="7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</c:numCache>
            </c:numRef>
          </c:xVal>
          <c:yVal>
            <c:numRef>
              <c:f>'Trade Equilibrium'!$AJ$3:$AJ$72</c:f>
              <c:numCache>
                <c:formatCode>0.0</c:formatCode>
                <c:ptCount val="70"/>
                <c:pt idx="0">
                  <c:v>320.0</c:v>
                </c:pt>
                <c:pt idx="1">
                  <c:v>160.0</c:v>
                </c:pt>
                <c:pt idx="2">
                  <c:v>106.6666666666667</c:v>
                </c:pt>
                <c:pt idx="3">
                  <c:v>80.0</c:v>
                </c:pt>
                <c:pt idx="4">
                  <c:v>64.0</c:v>
                </c:pt>
                <c:pt idx="5">
                  <c:v>53.33333333333334</c:v>
                </c:pt>
                <c:pt idx="6">
                  <c:v>45.71428571428572</c:v>
                </c:pt>
                <c:pt idx="7">
                  <c:v>40.0</c:v>
                </c:pt>
                <c:pt idx="8">
                  <c:v>35.55555555555556</c:v>
                </c:pt>
                <c:pt idx="9">
                  <c:v>32.0</c:v>
                </c:pt>
                <c:pt idx="10">
                  <c:v>29.09090909090909</c:v>
                </c:pt>
                <c:pt idx="11">
                  <c:v>26.66666666666667</c:v>
                </c:pt>
                <c:pt idx="12">
                  <c:v>24.61538461538462</c:v>
                </c:pt>
                <c:pt idx="13">
                  <c:v>22.85714285714286</c:v>
                </c:pt>
                <c:pt idx="14">
                  <c:v>21.33333333333333</c:v>
                </c:pt>
                <c:pt idx="15">
                  <c:v>20.0</c:v>
                </c:pt>
                <c:pt idx="16">
                  <c:v>18.82352941176471</c:v>
                </c:pt>
                <c:pt idx="17">
                  <c:v>17.77777777777778</c:v>
                </c:pt>
                <c:pt idx="18">
                  <c:v>16.84210526315789</c:v>
                </c:pt>
                <c:pt idx="19">
                  <c:v>16.0</c:v>
                </c:pt>
                <c:pt idx="20">
                  <c:v>15.23809523809524</c:v>
                </c:pt>
                <c:pt idx="21">
                  <c:v>14.54545454545454</c:v>
                </c:pt>
                <c:pt idx="22">
                  <c:v>13.91304347826087</c:v>
                </c:pt>
                <c:pt idx="23">
                  <c:v>13.33333333333333</c:v>
                </c:pt>
                <c:pt idx="24">
                  <c:v>12.8</c:v>
                </c:pt>
                <c:pt idx="25">
                  <c:v>12.30769230769231</c:v>
                </c:pt>
                <c:pt idx="26">
                  <c:v>11.85185185185185</c:v>
                </c:pt>
                <c:pt idx="27">
                  <c:v>11.42857142857143</c:v>
                </c:pt>
                <c:pt idx="28">
                  <c:v>11.0344827586207</c:v>
                </c:pt>
                <c:pt idx="29">
                  <c:v>10.66666666666667</c:v>
                </c:pt>
                <c:pt idx="30">
                  <c:v>10.32258064516129</c:v>
                </c:pt>
                <c:pt idx="31">
                  <c:v>10.0</c:v>
                </c:pt>
                <c:pt idx="32">
                  <c:v>9.696969696969697</c:v>
                </c:pt>
                <c:pt idx="33">
                  <c:v>9.411764705882353</c:v>
                </c:pt>
                <c:pt idx="34">
                  <c:v>9.142857142857142</c:v>
                </c:pt>
                <c:pt idx="35">
                  <c:v>8.88888888888889</c:v>
                </c:pt>
                <c:pt idx="36">
                  <c:v>8.64864864864865</c:v>
                </c:pt>
                <c:pt idx="37">
                  <c:v>8.421052631578946</c:v>
                </c:pt>
                <c:pt idx="38">
                  <c:v>8.205128205128204</c:v>
                </c:pt>
                <c:pt idx="39">
                  <c:v>8.0</c:v>
                </c:pt>
                <c:pt idx="40">
                  <c:v>7.804878048780488</c:v>
                </c:pt>
                <c:pt idx="41">
                  <c:v>7.619047619047619</c:v>
                </c:pt>
                <c:pt idx="42">
                  <c:v>7.441860465116278</c:v>
                </c:pt>
                <c:pt idx="43">
                  <c:v>7.272727272727272</c:v>
                </c:pt>
                <c:pt idx="44">
                  <c:v>7.111111111111111</c:v>
                </c:pt>
                <c:pt idx="45">
                  <c:v>6.956521739130434</c:v>
                </c:pt>
                <c:pt idx="46">
                  <c:v>6.808510638297872</c:v>
                </c:pt>
                <c:pt idx="47">
                  <c:v>6.666666666666667</c:v>
                </c:pt>
                <c:pt idx="48">
                  <c:v>6.530612244897959</c:v>
                </c:pt>
                <c:pt idx="49">
                  <c:v>6.4</c:v>
                </c:pt>
                <c:pt idx="50">
                  <c:v>6.274509803921568</c:v>
                </c:pt>
                <c:pt idx="51">
                  <c:v>6.153846153846154</c:v>
                </c:pt>
                <c:pt idx="52">
                  <c:v>6.037735849056604</c:v>
                </c:pt>
                <c:pt idx="53">
                  <c:v>5.925925925925926</c:v>
                </c:pt>
                <c:pt idx="54">
                  <c:v>5.818181818181818</c:v>
                </c:pt>
                <c:pt idx="55">
                  <c:v>5.714285714285714</c:v>
                </c:pt>
                <c:pt idx="56">
                  <c:v>5.614035087719298</c:v>
                </c:pt>
                <c:pt idx="57">
                  <c:v>5.517241379310345</c:v>
                </c:pt>
                <c:pt idx="58">
                  <c:v>5.423728813559321</c:v>
                </c:pt>
                <c:pt idx="59">
                  <c:v>5.333333333333332</c:v>
                </c:pt>
                <c:pt idx="60">
                  <c:v>5.245901639344262</c:v>
                </c:pt>
                <c:pt idx="61">
                  <c:v>5.161290322580645</c:v>
                </c:pt>
                <c:pt idx="62">
                  <c:v>5.07936507936508</c:v>
                </c:pt>
                <c:pt idx="63">
                  <c:v>5.0</c:v>
                </c:pt>
                <c:pt idx="64">
                  <c:v>4.923076923076923</c:v>
                </c:pt>
                <c:pt idx="65">
                  <c:v>4.848484848484849</c:v>
                </c:pt>
                <c:pt idx="66">
                  <c:v>4.776119402985074</c:v>
                </c:pt>
                <c:pt idx="67">
                  <c:v>4.705882352941176</c:v>
                </c:pt>
                <c:pt idx="68">
                  <c:v>4.63768115942029</c:v>
                </c:pt>
                <c:pt idx="69">
                  <c:v>4.571428571428571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'Trade Equilibrium'!$AA$19</c:f>
              <c:strCache>
                <c:ptCount val="1"/>
                <c:pt idx="0">
                  <c:v>Foreign Offer Curve</c:v>
                </c:pt>
              </c:strCache>
            </c:strRef>
          </c:tx>
          <c:spPr>
            <a:ln w="25400">
              <a:solidFill>
                <a:srgbClr val="F20884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20884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dPt>
            <c:idx val="3"/>
            <c:marker>
              <c:symbol val="diamond"/>
              <c:size val="7"/>
            </c:marker>
            <c:bubble3D val="0"/>
          </c:dPt>
          <c:dLbls>
            <c:dLbl>
              <c:idx val="1"/>
              <c:layout>
                <c:manualLayout>
                  <c:x val="-0.0996576176064254"/>
                  <c:y val="0.00515345675994205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A*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00310270806850993"/>
                  <c:y val="-0.0237731983892203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C*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0.0824156694746548"/>
                  <c:y val="-0.142796140939371"/>
                </c:manualLayout>
              </c:layout>
              <c:tx>
                <c:rich>
                  <a:bodyPr/>
                  <a:lstStyle/>
                  <a:p>
                    <a:pPr>
                      <a:defRPr sz="1200" b="0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Foreign's Offecer Curve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Equilibrium'!$AA$20:$AA$23</c:f>
              <c:numCache>
                <c:formatCode>General</c:formatCode>
                <c:ptCount val="4"/>
                <c:pt idx="0">
                  <c:v>40.0</c:v>
                </c:pt>
                <c:pt idx="1">
                  <c:v>20.0</c:v>
                </c:pt>
                <c:pt idx="2" formatCode="0">
                  <c:v>20.0</c:v>
                </c:pt>
                <c:pt idx="3" formatCode="0">
                  <c:v>20.0</c:v>
                </c:pt>
              </c:numCache>
            </c:numRef>
          </c:xVal>
          <c:yVal>
            <c:numRef>
              <c:f>'Trade Equilibrium'!$AB$20:$AB$23</c:f>
              <c:numCache>
                <c:formatCode>General</c:formatCode>
                <c:ptCount val="4"/>
                <c:pt idx="0">
                  <c:v>0.0</c:v>
                </c:pt>
                <c:pt idx="1">
                  <c:v>10.0</c:v>
                </c:pt>
                <c:pt idx="2">
                  <c:v>16.0</c:v>
                </c:pt>
                <c:pt idx="3">
                  <c:v>21.0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46646368"/>
        <c:axId val="-646644048"/>
      </c:scatterChart>
      <c:valAx>
        <c:axId val="-646646368"/>
        <c:scaling>
          <c:orientation val="minMax"/>
          <c:max val="50.0"/>
          <c:min val="0.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ngsanaUPC"/>
                <a:ea typeface="AngsanaUPC"/>
                <a:cs typeface="AngsanaUPC"/>
              </a:defRPr>
            </a:pPr>
            <a:endParaRPr lang="en-US"/>
          </a:p>
        </c:txPr>
        <c:crossAx val="-646644048"/>
        <c:crosses val="autoZero"/>
        <c:crossBetween val="midCat"/>
        <c:majorUnit val="10.0"/>
      </c:valAx>
      <c:valAx>
        <c:axId val="-646644048"/>
        <c:scaling>
          <c:orientation val="minMax"/>
          <c:max val="45.0"/>
          <c:min val="0.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ngsanaUPC"/>
                <a:ea typeface="AngsanaUPC"/>
                <a:cs typeface="AngsanaUPC"/>
              </a:defRPr>
            </a:pPr>
            <a:endParaRPr lang="en-US"/>
          </a:p>
        </c:txPr>
        <c:crossAx val="-646646368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00ABEA" mc:Ignorable="a14" a14:legacySpreadsheetColorIndex="15"/>
        </a:gs>
        <a:gs pos="100000">
          <a:srgbClr xmlns:mc="http://schemas.openxmlformats.org/markup-compatibility/2006" xmlns:a14="http://schemas.microsoft.com/office/drawing/2010/main" val="CCFFFF" mc:Ignorable="a14" a14:legacySpreadsheetColorIndex="41"/>
        </a:gs>
      </a:gsLst>
      <a:lin ang="5400000" scaled="1"/>
    </a:gradFill>
    <a:ln w="12700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ngsanaUPC"/>
          <a:ea typeface="AngsanaUPC"/>
          <a:cs typeface="AngsanaUPC"/>
        </a:defRPr>
      </a:pPr>
      <a:endParaRPr lang="en-US"/>
    </a:p>
  </c:txPr>
  <c:printSettings>
    <c:headerFooter/>
    <c:pageMargins b="0.75" l="0.7" r="0.7" t="0.75" header="0.5" footer="0.5"/>
    <c:pageSetup paperSize="9" orientation="landscape" horizontalDpi="1200" verticalDpi="1200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935515137446167"/>
          <c:y val="0.0905380949091662"/>
          <c:w val="0.838737709434495"/>
          <c:h val="0.744881599025413"/>
        </c:manualLayout>
      </c:layout>
      <c:scatterChart>
        <c:scatterStyle val="lineMarker"/>
        <c:varyColors val="0"/>
        <c:ser>
          <c:idx val="0"/>
          <c:order val="0"/>
          <c:tx>
            <c:strRef>
              <c:f>'Trade Equilibrium'!$V$1</c:f>
              <c:strCache>
                <c:ptCount val="1"/>
                <c:pt idx="0">
                  <c:v>PPCH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7096928052538"/>
                  <c:y val="0.0127047465879043"/>
                </c:manualLayout>
              </c:layout>
              <c:tx>
                <c:rich>
                  <a:bodyPr/>
                  <a:lstStyle/>
                  <a:p>
                    <a:pPr>
                      <a:defRPr sz="16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M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0451619296052301"/>
                  <c:y val="0.012704779883108"/>
                </c:manualLayout>
              </c:layout>
              <c:tx>
                <c:rich>
                  <a:bodyPr/>
                  <a:lstStyle/>
                  <a:p>
                    <a:pPr>
                      <a:defRPr sz="16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N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AngsanaUPC"/>
                    <a:ea typeface="AngsanaUPC"/>
                    <a:cs typeface="AngsanaUPC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Equilibrium'!$V$3:$V$4</c:f>
              <c:numCache>
                <c:formatCode>General</c:formatCode>
                <c:ptCount val="2"/>
                <c:pt idx="0">
                  <c:v>0.0</c:v>
                </c:pt>
                <c:pt idx="1">
                  <c:v>20.0</c:v>
                </c:pt>
              </c:numCache>
            </c:numRef>
          </c:xVal>
          <c:yVal>
            <c:numRef>
              <c:f>'Trade Equilibrium'!$W$3:$W$4</c:f>
              <c:numCache>
                <c:formatCode>General</c:formatCode>
                <c:ptCount val="2"/>
                <c:pt idx="0">
                  <c:v>40.0</c:v>
                </c:pt>
                <c:pt idx="1">
                  <c:v>0.0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'Trade Equilibrium'!$V$10</c:f>
              <c:strCache>
                <c:ptCount val="1"/>
                <c:pt idx="0">
                  <c:v>Home Budget line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</a:ln>
          </c:spPr>
          <c:marker>
            <c:symbol val="none"/>
          </c:marker>
          <c:xVal>
            <c:numRef>
              <c:f>'Trade Equilibrium'!$V$12:$V$13</c:f>
              <c:numCache>
                <c:formatCode>0.0</c:formatCode>
                <c:ptCount val="2"/>
                <c:pt idx="0" formatCode="General">
                  <c:v>0.0</c:v>
                </c:pt>
                <c:pt idx="1">
                  <c:v>45.0</c:v>
                </c:pt>
              </c:numCache>
            </c:numRef>
          </c:xVal>
          <c:yVal>
            <c:numRef>
              <c:f>'Trade Equilibrium'!$W$12:$W$13</c:f>
              <c:numCache>
                <c:formatCode>General</c:formatCode>
                <c:ptCount val="2"/>
                <c:pt idx="0">
                  <c:v>40.0</c:v>
                </c:pt>
                <c:pt idx="1">
                  <c:v>4.0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'Trade Equilibrium'!$AH$1</c:f>
              <c:strCache>
                <c:ptCount val="1"/>
                <c:pt idx="0">
                  <c:v>ICHT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dLbls>
            <c:dLbl>
              <c:idx val="35"/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IC</a:t>
                    </a:r>
                    <a:r>
                      <a:rPr lang="en-US" sz="1850" b="1" i="0" u="none" strike="noStrike" baseline="-25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T</a:t>
                    </a:r>
                    <a:r>
                      <a:rPr lang="en-US" sz="1850" b="1" i="0" u="none" strike="noStrike" baseline="3000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rPr>
                      <a:t>H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Equilibrium'!$AF$10:$AF$45</c:f>
              <c:numCache>
                <c:formatCode>General</c:formatCode>
                <c:ptCount val="36"/>
                <c:pt idx="0">
                  <c:v>8.0</c:v>
                </c:pt>
                <c:pt idx="1">
                  <c:v>9.0</c:v>
                </c:pt>
                <c:pt idx="2">
                  <c:v>10.0</c:v>
                </c:pt>
                <c:pt idx="3">
                  <c:v>11.0</c:v>
                </c:pt>
                <c:pt idx="4">
                  <c:v>12.0</c:v>
                </c:pt>
                <c:pt idx="5">
                  <c:v>13.0</c:v>
                </c:pt>
                <c:pt idx="6">
                  <c:v>14.0</c:v>
                </c:pt>
                <c:pt idx="7">
                  <c:v>15.0</c:v>
                </c:pt>
                <c:pt idx="8">
                  <c:v>16.0</c:v>
                </c:pt>
                <c:pt idx="9">
                  <c:v>17.0</c:v>
                </c:pt>
                <c:pt idx="10">
                  <c:v>18.0</c:v>
                </c:pt>
                <c:pt idx="11">
                  <c:v>19.0</c:v>
                </c:pt>
                <c:pt idx="12">
                  <c:v>20.0</c:v>
                </c:pt>
                <c:pt idx="13">
                  <c:v>21.0</c:v>
                </c:pt>
                <c:pt idx="14">
                  <c:v>22.0</c:v>
                </c:pt>
                <c:pt idx="15">
                  <c:v>23.0</c:v>
                </c:pt>
                <c:pt idx="16">
                  <c:v>24.0</c:v>
                </c:pt>
                <c:pt idx="17">
                  <c:v>25.0</c:v>
                </c:pt>
                <c:pt idx="18">
                  <c:v>26.0</c:v>
                </c:pt>
                <c:pt idx="19">
                  <c:v>27.0</c:v>
                </c:pt>
                <c:pt idx="20">
                  <c:v>28.0</c:v>
                </c:pt>
                <c:pt idx="21">
                  <c:v>29.0</c:v>
                </c:pt>
                <c:pt idx="22">
                  <c:v>30.0</c:v>
                </c:pt>
                <c:pt idx="23">
                  <c:v>31.0</c:v>
                </c:pt>
                <c:pt idx="24">
                  <c:v>32.0</c:v>
                </c:pt>
                <c:pt idx="25">
                  <c:v>33.0</c:v>
                </c:pt>
                <c:pt idx="26">
                  <c:v>34.0</c:v>
                </c:pt>
                <c:pt idx="27">
                  <c:v>35.0</c:v>
                </c:pt>
                <c:pt idx="28">
                  <c:v>36.0</c:v>
                </c:pt>
                <c:pt idx="29">
                  <c:v>37.0</c:v>
                </c:pt>
                <c:pt idx="30">
                  <c:v>38.0</c:v>
                </c:pt>
                <c:pt idx="31">
                  <c:v>39.0</c:v>
                </c:pt>
                <c:pt idx="32">
                  <c:v>40.0</c:v>
                </c:pt>
                <c:pt idx="33">
                  <c:v>41.0</c:v>
                </c:pt>
                <c:pt idx="34">
                  <c:v>42.0</c:v>
                </c:pt>
                <c:pt idx="35">
                  <c:v>43.0</c:v>
                </c:pt>
              </c:numCache>
            </c:numRef>
          </c:xVal>
          <c:yVal>
            <c:numRef>
              <c:f>'Trade Equilibrium'!$AH$10:$AH$45</c:f>
              <c:numCache>
                <c:formatCode>0.0</c:formatCode>
                <c:ptCount val="36"/>
                <c:pt idx="0">
                  <c:v>62.5</c:v>
                </c:pt>
                <c:pt idx="1">
                  <c:v>55.55555555555556</c:v>
                </c:pt>
                <c:pt idx="2">
                  <c:v>50.0</c:v>
                </c:pt>
                <c:pt idx="3">
                  <c:v>45.45454545454545</c:v>
                </c:pt>
                <c:pt idx="4">
                  <c:v>41.66666666666666</c:v>
                </c:pt>
                <c:pt idx="5">
                  <c:v>38.46153846153846</c:v>
                </c:pt>
                <c:pt idx="6">
                  <c:v>35.71428571428572</c:v>
                </c:pt>
                <c:pt idx="7">
                  <c:v>33.33333333333334</c:v>
                </c:pt>
                <c:pt idx="8">
                  <c:v>31.25</c:v>
                </c:pt>
                <c:pt idx="9">
                  <c:v>29.41176470588235</c:v>
                </c:pt>
                <c:pt idx="10">
                  <c:v>27.77777777777778</c:v>
                </c:pt>
                <c:pt idx="11">
                  <c:v>26.31578947368421</c:v>
                </c:pt>
                <c:pt idx="12">
                  <c:v>25.0</c:v>
                </c:pt>
                <c:pt idx="13">
                  <c:v>23.80952380952381</c:v>
                </c:pt>
                <c:pt idx="14">
                  <c:v>22.72727272727273</c:v>
                </c:pt>
                <c:pt idx="15">
                  <c:v>21.73913043478261</c:v>
                </c:pt>
                <c:pt idx="16">
                  <c:v>20.83333333333333</c:v>
                </c:pt>
                <c:pt idx="17">
                  <c:v>20.0</c:v>
                </c:pt>
                <c:pt idx="18">
                  <c:v>19.23076923076923</c:v>
                </c:pt>
                <c:pt idx="19">
                  <c:v>18.51851851851852</c:v>
                </c:pt>
                <c:pt idx="20">
                  <c:v>17.85714285714286</c:v>
                </c:pt>
                <c:pt idx="21">
                  <c:v>17.24137931034483</c:v>
                </c:pt>
                <c:pt idx="22">
                  <c:v>16.66666666666667</c:v>
                </c:pt>
                <c:pt idx="23">
                  <c:v>16.12903225806452</c:v>
                </c:pt>
                <c:pt idx="24">
                  <c:v>15.625</c:v>
                </c:pt>
                <c:pt idx="25">
                  <c:v>15.15151515151515</c:v>
                </c:pt>
                <c:pt idx="26">
                  <c:v>14.70588235294118</c:v>
                </c:pt>
                <c:pt idx="27">
                  <c:v>14.28571428571429</c:v>
                </c:pt>
                <c:pt idx="28">
                  <c:v>13.88888888888889</c:v>
                </c:pt>
                <c:pt idx="29">
                  <c:v>13.51351351351351</c:v>
                </c:pt>
                <c:pt idx="30">
                  <c:v>13.1578947368421</c:v>
                </c:pt>
                <c:pt idx="31">
                  <c:v>12.82051282051282</c:v>
                </c:pt>
                <c:pt idx="32">
                  <c:v>12.5</c:v>
                </c:pt>
                <c:pt idx="33">
                  <c:v>12.19512195121951</c:v>
                </c:pt>
                <c:pt idx="34">
                  <c:v>11.90476190476191</c:v>
                </c:pt>
                <c:pt idx="35">
                  <c:v>11.62790697674419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'Trade Equilibrium'!$V$19</c:f>
              <c:strCache>
                <c:ptCount val="1"/>
                <c:pt idx="0">
                  <c:v>Home Offer Curve</c:v>
                </c:pt>
              </c:strCache>
            </c:strRef>
          </c:tx>
          <c:spPr>
            <a:ln w="25400">
              <a:solidFill>
                <a:srgbClr val="1FB714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006411"/>
              </a:solidFill>
              <a:ln>
                <a:solidFill>
                  <a:srgbClr val="1FB714"/>
                </a:solidFill>
                <a:prstDash val="solid"/>
              </a:ln>
            </c:spPr>
          </c:marker>
          <c:dPt>
            <c:idx val="3"/>
            <c:marker>
              <c:symbol val="diamond"/>
              <c:size val="9"/>
            </c:marker>
            <c:bubble3D val="0"/>
          </c:dPt>
          <c:dLbls>
            <c:dLbl>
              <c:idx val="1"/>
              <c:layout>
                <c:manualLayout>
                  <c:x val="-0.0693562510922788"/>
                  <c:y val="-0.0152383820632772"/>
                </c:manualLayout>
              </c:layout>
              <c:tx>
                <c:rich>
                  <a:bodyPr/>
                  <a:lstStyle/>
                  <a:p>
                    <a:pPr>
                      <a:defRPr sz="160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A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0564525664362778"/>
                  <c:y val="0.0300306653913059"/>
                </c:manualLayout>
              </c:layout>
              <c:tx>
                <c:rich>
                  <a:bodyPr/>
                  <a:lstStyle/>
                  <a:p>
                    <a:pPr>
                      <a:defRPr sz="160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en-US"/>
                      <a:t>C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Equilibrium'!$V$20:$V$23</c:f>
              <c:numCache>
                <c:formatCode>General</c:formatCode>
                <c:ptCount val="4"/>
                <c:pt idx="0">
                  <c:v>0.0</c:v>
                </c:pt>
                <c:pt idx="1">
                  <c:v>10.0</c:v>
                </c:pt>
                <c:pt idx="2" formatCode="0">
                  <c:v>25.0</c:v>
                </c:pt>
                <c:pt idx="3" formatCode="0">
                  <c:v>30.0</c:v>
                </c:pt>
              </c:numCache>
            </c:numRef>
          </c:xVal>
          <c:yVal>
            <c:numRef>
              <c:f>'Trade Equilibrium'!$W$20:$W$23</c:f>
              <c:numCache>
                <c:formatCode>General</c:formatCode>
                <c:ptCount val="4"/>
                <c:pt idx="0">
                  <c:v>40.0</c:v>
                </c:pt>
                <c:pt idx="1">
                  <c:v>20.0</c:v>
                </c:pt>
                <c:pt idx="2">
                  <c:v>20.0</c:v>
                </c:pt>
                <c:pt idx="3">
                  <c:v>20.0</c:v>
                </c:pt>
              </c:numCache>
            </c:numRef>
          </c:yVal>
          <c:smooth val="0"/>
        </c:ser>
        <c:ser>
          <c:idx val="7"/>
          <c:order val="6"/>
          <c:tx>
            <c:strRef>
              <c:f>'Trade Equilibrium'!$AQ$1</c:f>
              <c:strCache>
                <c:ptCount val="1"/>
                <c:pt idx="0">
                  <c:v>X Axis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'Trade Equilibrium'!$AQ$3:$AQ$4</c:f>
              <c:numCache>
                <c:formatCode>General</c:formatCode>
                <c:ptCount val="2"/>
                <c:pt idx="0">
                  <c:v>0.0</c:v>
                </c:pt>
                <c:pt idx="1">
                  <c:v>40.0</c:v>
                </c:pt>
              </c:numCache>
            </c:numRef>
          </c:xVal>
          <c:yVal>
            <c:numRef>
              <c:f>'Trade Equilibrium'!$AR$3:$AR$4</c:f>
              <c:numCache>
                <c:formatCode>General</c:formatCode>
                <c:ptCount val="2"/>
                <c:pt idx="0">
                  <c:v>40.0</c:v>
                </c:pt>
                <c:pt idx="1">
                  <c:v>40.0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31675456"/>
        <c:axId val="-731274016"/>
      </c:scatterChart>
      <c:scatterChart>
        <c:scatterStyle val="lineMarker"/>
        <c:varyColors val="0"/>
        <c:ser>
          <c:idx val="5"/>
          <c:order val="4"/>
          <c:tx>
            <c:strRef>
              <c:f>'Trade Equilibrium'!$AN$1</c:f>
              <c:strCache>
                <c:ptCount val="1"/>
                <c:pt idx="0">
                  <c:v>RPPCF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DD0806"/>
              </a:solidFill>
              <a:ln>
                <a:solidFill>
                  <a:srgbClr val="DD0806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tx>
                <c:rich>
                  <a:bodyPr/>
                  <a:lstStyle/>
                  <a:p>
                    <a:pPr>
                      <a:defRPr sz="16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M*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0" i="0" u="none" strike="noStrike" baseline="0">
                    <a:solidFill>
                      <a:srgbClr val="000000"/>
                    </a:solidFill>
                    <a:latin typeface="AngsanaUPC"/>
                    <a:ea typeface="AngsanaUPC"/>
                    <a:cs typeface="AngsanaUPC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Equilibrium'!$AN$3:$AN$4</c:f>
              <c:numCache>
                <c:formatCode>General</c:formatCode>
                <c:ptCount val="2"/>
                <c:pt idx="0">
                  <c:v>0.0</c:v>
                </c:pt>
                <c:pt idx="1">
                  <c:v>40.0</c:v>
                </c:pt>
              </c:numCache>
            </c:numRef>
          </c:xVal>
          <c:yVal>
            <c:numRef>
              <c:f>'Trade Equilibrium'!$AO$3:$AO$4</c:f>
              <c:numCache>
                <c:formatCode>General</c:formatCode>
                <c:ptCount val="2"/>
                <c:pt idx="0">
                  <c:v>0.0</c:v>
                </c:pt>
                <c:pt idx="1">
                  <c:v>20.0</c:v>
                </c:pt>
              </c:numCache>
            </c:numRef>
          </c:yVal>
          <c:smooth val="0"/>
        </c:ser>
        <c:ser>
          <c:idx val="6"/>
          <c:order val="5"/>
          <c:tx>
            <c:strRef>
              <c:f>'Trade Equilibrium'!$AS$1</c:f>
              <c:strCache>
                <c:ptCount val="1"/>
                <c:pt idx="0">
                  <c:v>Y Axis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layout>
                <c:manualLayout>
                  <c:x val="-0.014515761192218"/>
                  <c:y val="-0.0236752703648218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0*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0274194182604409"/>
                  <c:y val="0.0169639684508486"/>
                </c:manualLayout>
              </c:layout>
              <c:tx>
                <c:rich>
                  <a:bodyPr/>
                  <a:lstStyle/>
                  <a:p>
                    <a:pPr>
                      <a:defRPr sz="18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Y*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Equilibrium'!$AS$3:$AS$4</c:f>
              <c:numCache>
                <c:formatCode>General</c:formatCode>
                <c:ptCount val="2"/>
                <c:pt idx="0">
                  <c:v>40.0</c:v>
                </c:pt>
                <c:pt idx="1">
                  <c:v>40.0</c:v>
                </c:pt>
              </c:numCache>
            </c:numRef>
          </c:xVal>
          <c:yVal>
            <c:numRef>
              <c:f>'Trade Equilibrium'!$AT$3:$AT$4</c:f>
              <c:numCache>
                <c:formatCode>General</c:formatCode>
                <c:ptCount val="2"/>
                <c:pt idx="0">
                  <c:v>0.0</c:v>
                </c:pt>
                <c:pt idx="1">
                  <c:v>25.0</c:v>
                </c:pt>
              </c:numCache>
            </c:numRef>
          </c:yVal>
          <c:smooth val="0"/>
        </c:ser>
        <c:ser>
          <c:idx val="8"/>
          <c:order val="7"/>
          <c:tx>
            <c:strRef>
              <c:f>'Trade Equilibrium'!$AN$5</c:f>
              <c:strCache>
                <c:ptCount val="1"/>
                <c:pt idx="0">
                  <c:v>RForeign Offer Curve</c:v>
                </c:pt>
              </c:strCache>
            </c:strRef>
          </c:tx>
          <c:spPr>
            <a:ln w="25400">
              <a:solidFill>
                <a:srgbClr val="F20884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20884"/>
              </a:solidFill>
              <a:ln>
                <a:solidFill>
                  <a:srgbClr val="FF99CC"/>
                </a:solidFill>
                <a:prstDash val="solid"/>
              </a:ln>
            </c:spPr>
          </c:marker>
          <c:dLbls>
            <c:dLbl>
              <c:idx val="1"/>
              <c:layout>
                <c:manualLayout>
                  <c:x val="-0.0241934329616463"/>
                  <c:y val="-0.0671335079455251"/>
                </c:manualLayout>
              </c:layout>
              <c:tx>
                <c:rich>
                  <a:bodyPr/>
                  <a:lstStyle/>
                  <a:p>
                    <a:pPr>
                      <a:defRPr sz="1650" b="1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C*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0.0435489185639808"/>
                  <c:y val="-0.0582854232413744"/>
                </c:manualLayout>
              </c:layout>
              <c:tx>
                <c:rich>
                  <a:bodyPr/>
                  <a:lstStyle/>
                  <a:p>
                    <a:pPr>
                      <a:defRPr sz="1650" b="0" i="0" u="none" strike="noStrike" baseline="0">
                        <a:solidFill>
                          <a:srgbClr val="000000"/>
                        </a:solidFill>
                        <a:latin typeface="AngsanaUPC"/>
                        <a:ea typeface="AngsanaUPC"/>
                        <a:cs typeface="AngsanaUPC"/>
                      </a:defRPr>
                    </a:pPr>
                    <a:r>
                      <a:rPr lang="mr-IN"/>
                      <a:t>A*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'Trade Equilibrium'!$AN$6:$AN$9</c:f>
              <c:numCache>
                <c:formatCode>General</c:formatCode>
                <c:ptCount val="4"/>
                <c:pt idx="0" formatCode="0">
                  <c:v>20.0</c:v>
                </c:pt>
                <c:pt idx="1">
                  <c:v>20.0</c:v>
                </c:pt>
                <c:pt idx="2" formatCode="0">
                  <c:v>20.0</c:v>
                </c:pt>
                <c:pt idx="3">
                  <c:v>0.0</c:v>
                </c:pt>
              </c:numCache>
            </c:numRef>
          </c:xVal>
          <c:yVal>
            <c:numRef>
              <c:f>'Trade Equilibrium'!$AO$6:$AO$9</c:f>
              <c:numCache>
                <c:formatCode>General</c:formatCode>
                <c:ptCount val="4"/>
                <c:pt idx="0">
                  <c:v>27.0</c:v>
                </c:pt>
                <c:pt idx="1">
                  <c:v>16.0</c:v>
                </c:pt>
                <c:pt idx="2">
                  <c:v>10.0</c:v>
                </c:pt>
                <c:pt idx="3">
                  <c:v>0.0</c:v>
                </c:pt>
              </c:numCache>
            </c:numRef>
          </c:yVal>
          <c:smooth val="0"/>
        </c:ser>
        <c:ser>
          <c:idx val="1"/>
          <c:order val="8"/>
          <c:tx>
            <c:strRef>
              <c:f>'Trade Equilibrium'!$AK$2</c:f>
              <c:strCache>
                <c:ptCount val="1"/>
                <c:pt idx="0">
                  <c:v>RX2FT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none"/>
          </c:marker>
          <c:xVal>
            <c:numRef>
              <c:f>'Trade Equilibrium'!$AK$10:$AK$35</c:f>
              <c:numCache>
                <c:formatCode>0</c:formatCode>
                <c:ptCount val="26"/>
                <c:pt idx="0">
                  <c:v>33.0</c:v>
                </c:pt>
                <c:pt idx="1">
                  <c:v>32.0</c:v>
                </c:pt>
                <c:pt idx="2">
                  <c:v>31.0</c:v>
                </c:pt>
                <c:pt idx="3">
                  <c:v>30.0</c:v>
                </c:pt>
                <c:pt idx="4">
                  <c:v>29.0</c:v>
                </c:pt>
                <c:pt idx="5">
                  <c:v>28.0</c:v>
                </c:pt>
                <c:pt idx="6">
                  <c:v>27.0</c:v>
                </c:pt>
                <c:pt idx="7">
                  <c:v>26.0</c:v>
                </c:pt>
                <c:pt idx="8">
                  <c:v>25.0</c:v>
                </c:pt>
                <c:pt idx="9">
                  <c:v>24.0</c:v>
                </c:pt>
                <c:pt idx="10">
                  <c:v>23.0</c:v>
                </c:pt>
                <c:pt idx="11">
                  <c:v>22.0</c:v>
                </c:pt>
                <c:pt idx="12">
                  <c:v>21.0</c:v>
                </c:pt>
                <c:pt idx="13">
                  <c:v>20.0</c:v>
                </c:pt>
                <c:pt idx="14">
                  <c:v>19.0</c:v>
                </c:pt>
                <c:pt idx="15">
                  <c:v>18.0</c:v>
                </c:pt>
                <c:pt idx="16">
                  <c:v>17.0</c:v>
                </c:pt>
                <c:pt idx="17">
                  <c:v>16.0</c:v>
                </c:pt>
                <c:pt idx="18">
                  <c:v>15.0</c:v>
                </c:pt>
                <c:pt idx="19">
                  <c:v>14.0</c:v>
                </c:pt>
                <c:pt idx="20">
                  <c:v>13.0</c:v>
                </c:pt>
                <c:pt idx="21">
                  <c:v>12.0</c:v>
                </c:pt>
                <c:pt idx="22">
                  <c:v>11.0</c:v>
                </c:pt>
                <c:pt idx="23">
                  <c:v>10.0</c:v>
                </c:pt>
                <c:pt idx="24">
                  <c:v>9.0</c:v>
                </c:pt>
                <c:pt idx="25">
                  <c:v>8.0</c:v>
                </c:pt>
              </c:numCache>
            </c:numRef>
          </c:xVal>
          <c:yVal>
            <c:numRef>
              <c:f>'Trade Equilibrium'!$AJ$9:$AJ$34</c:f>
              <c:numCache>
                <c:formatCode>0.0</c:formatCode>
                <c:ptCount val="26"/>
                <c:pt idx="0">
                  <c:v>45.71428571428572</c:v>
                </c:pt>
                <c:pt idx="1">
                  <c:v>40.0</c:v>
                </c:pt>
                <c:pt idx="2">
                  <c:v>35.55555555555556</c:v>
                </c:pt>
                <c:pt idx="3">
                  <c:v>32.0</c:v>
                </c:pt>
                <c:pt idx="4">
                  <c:v>29.09090909090909</c:v>
                </c:pt>
                <c:pt idx="5">
                  <c:v>26.66666666666667</c:v>
                </c:pt>
                <c:pt idx="6">
                  <c:v>24.61538461538462</c:v>
                </c:pt>
                <c:pt idx="7">
                  <c:v>22.85714285714286</c:v>
                </c:pt>
                <c:pt idx="8">
                  <c:v>21.33333333333333</c:v>
                </c:pt>
                <c:pt idx="9">
                  <c:v>20.0</c:v>
                </c:pt>
                <c:pt idx="10">
                  <c:v>18.82352941176471</c:v>
                </c:pt>
                <c:pt idx="11">
                  <c:v>17.77777777777778</c:v>
                </c:pt>
                <c:pt idx="12">
                  <c:v>16.84210526315789</c:v>
                </c:pt>
                <c:pt idx="13">
                  <c:v>16.0</c:v>
                </c:pt>
                <c:pt idx="14">
                  <c:v>15.23809523809524</c:v>
                </c:pt>
                <c:pt idx="15">
                  <c:v>14.54545454545454</c:v>
                </c:pt>
                <c:pt idx="16">
                  <c:v>13.91304347826087</c:v>
                </c:pt>
                <c:pt idx="17">
                  <c:v>13.33333333333333</c:v>
                </c:pt>
                <c:pt idx="18">
                  <c:v>12.8</c:v>
                </c:pt>
                <c:pt idx="19">
                  <c:v>12.30769230769231</c:v>
                </c:pt>
                <c:pt idx="20">
                  <c:v>11.85185185185185</c:v>
                </c:pt>
                <c:pt idx="21">
                  <c:v>11.42857142857143</c:v>
                </c:pt>
                <c:pt idx="22">
                  <c:v>11.0344827586207</c:v>
                </c:pt>
                <c:pt idx="23">
                  <c:v>10.66666666666667</c:v>
                </c:pt>
                <c:pt idx="24">
                  <c:v>10.32258064516129</c:v>
                </c:pt>
                <c:pt idx="25">
                  <c:v>10.0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31804224"/>
        <c:axId val="-731602112"/>
      </c:scatterChart>
      <c:valAx>
        <c:axId val="-731675456"/>
        <c:scaling>
          <c:orientation val="minMax"/>
          <c:max val="50.0"/>
          <c:min val="0.0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ngsanaUPC"/>
                <a:ea typeface="AngsanaUPC"/>
                <a:cs typeface="AngsanaUPC"/>
              </a:defRPr>
            </a:pPr>
            <a:endParaRPr lang="en-US"/>
          </a:p>
        </c:txPr>
        <c:crossAx val="-731274016"/>
        <c:crosses val="autoZero"/>
        <c:crossBetween val="midCat"/>
        <c:majorUnit val="10.0"/>
      </c:valAx>
      <c:valAx>
        <c:axId val="-731274016"/>
        <c:scaling>
          <c:orientation val="minMax"/>
          <c:max val="40.0"/>
          <c:min val="0.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ngsanaUPC"/>
                <a:ea typeface="AngsanaUPC"/>
                <a:cs typeface="AngsanaUPC"/>
              </a:defRPr>
            </a:pPr>
            <a:endParaRPr lang="en-US"/>
          </a:p>
        </c:txPr>
        <c:crossAx val="-731675456"/>
        <c:crosses val="autoZero"/>
        <c:crossBetween val="midCat"/>
      </c:valAx>
      <c:valAx>
        <c:axId val="-731804224"/>
        <c:scaling>
          <c:orientation val="minMax"/>
        </c:scaling>
        <c:delete val="1"/>
        <c:axPos val="t"/>
        <c:majorTickMark val="out"/>
        <c:minorTickMark val="none"/>
        <c:tickLblPos val="nextTo"/>
        <c:crossAx val="-731602112"/>
        <c:crosses val="autoZero"/>
        <c:crossBetween val="midCat"/>
      </c:valAx>
      <c:valAx>
        <c:axId val="-731602112"/>
        <c:scaling>
          <c:orientation val="maxMin"/>
          <c:max val="40.0"/>
          <c:min val="0.0"/>
        </c:scaling>
        <c:delete val="0"/>
        <c:axPos val="r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ngsanaUPC"/>
                <a:ea typeface="AngsanaUPC"/>
                <a:cs typeface="AngsanaUPC"/>
              </a:defRPr>
            </a:pPr>
            <a:endParaRPr lang="en-US"/>
          </a:p>
        </c:txPr>
        <c:crossAx val="-731804224"/>
        <c:crosses val="max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CCFFFF" mc:Ignorable="a14" a14:legacySpreadsheetColorIndex="41"/>
        </a:gs>
        <a:gs pos="100000">
          <a:srgbClr xmlns:mc="http://schemas.openxmlformats.org/markup-compatibility/2006" xmlns:a14="http://schemas.microsoft.com/office/drawing/2010/main" val="00ABEA" mc:Ignorable="a14" a14:legacySpreadsheetColorIndex="15"/>
        </a:gs>
      </a:gsLst>
      <a:lin ang="5400000" scaled="1"/>
    </a:gradFill>
    <a:ln w="12700">
      <a:solidFill>
        <a:srgbClr val="000000"/>
      </a:solidFill>
      <a:prstDash val="solid"/>
    </a:ln>
  </c:spPr>
  <c:txPr>
    <a:bodyPr/>
    <a:lstStyle/>
    <a:p>
      <a:pPr>
        <a:defRPr sz="1175" b="0" i="0" u="none" strike="noStrike" baseline="0">
          <a:solidFill>
            <a:srgbClr val="000000"/>
          </a:solidFill>
          <a:latin typeface="AngsanaUPC"/>
          <a:ea typeface="AngsanaUPC"/>
          <a:cs typeface="AngsanaUPC"/>
        </a:defRPr>
      </a:pPr>
      <a:endParaRPr lang="en-US"/>
    </a:p>
  </c:txPr>
  <c:printSettings>
    <c:headerFooter/>
    <c:pageMargins b="0.75" l="0.7" r="0.7" t="0.75" header="0.5" footer="0.5"/>
    <c:pageSetup/>
  </c:printSettings>
</c:chartSpace>
</file>

<file path=xl/ctrlProps/ctrlProp1.xml><?xml version="1.0" encoding="utf-8"?>
<formControlPr xmlns="http://schemas.microsoft.com/office/spreadsheetml/2009/9/main" objectType="Spin" dx="16" fmlaLink="$B$10" inc="2" max="180" min="140" page="10" val="160"/>
</file>

<file path=xl/ctrlProps/ctrlProp2.xml><?xml version="1.0" encoding="utf-8"?>
<formControlPr xmlns="http://schemas.microsoft.com/office/spreadsheetml/2009/9/main" objectType="Spin" dx="16" fmlaLink="$C$13" max="30" min="5" page="10" val="9"/>
</file>

<file path=xl/ctrlProps/ctrlProp3.xml><?xml version="1.0" encoding="utf-8"?>
<formControlPr xmlns="http://schemas.microsoft.com/office/spreadsheetml/2009/9/main" objectType="Spin" dx="16" fmlaLink="$C$6" max="16" min="2" page="10" val="16"/>
</file>

<file path=xl/ctrlProps/ctrlProp4.xml><?xml version="1.0" encoding="utf-8"?>
<formControlPr xmlns="http://schemas.microsoft.com/office/spreadsheetml/2009/9/main" objectType="Spin" dx="16" fmlaLink="$F$6" max="16" min="4" page="10" val="8"/>
</file>

<file path=xl/ctrlProps/ctrlProp5.xml><?xml version="1.0" encoding="utf-8"?>
<formControlPr xmlns="http://schemas.microsoft.com/office/spreadsheetml/2009/9/main" objectType="Radio" checked="Checked" firstButton="1" fmlaLink="$C$19" lockText="1"/>
</file>

<file path=xl/ctrlProps/ctrlProp6.xml><?xml version="1.0" encoding="utf-8"?>
<formControlPr xmlns="http://schemas.microsoft.com/office/spreadsheetml/2009/9/main" objectType="Spin" dx="16" fmlaLink="$E$12" max="20" min="5" page="10" val="8"/>
</file>

<file path=xl/ctrlProps/ctrlProp7.xml><?xml version="1.0" encoding="utf-8"?>
<formControlPr xmlns="http://schemas.microsoft.com/office/spreadsheetml/2009/9/main" objectType="Spin" dx="16" fmlaLink="$E$9" inc="2" max="200" min="80" page="10" val="16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4" Type="http://schemas.openxmlformats.org/officeDocument/2006/relationships/image" Target="../media/image1.png"/><Relationship Id="rId1" Type="http://schemas.openxmlformats.org/officeDocument/2006/relationships/chart" Target="../charts/chart2.xml"/><Relationship Id="rId2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4" Type="http://schemas.openxmlformats.org/officeDocument/2006/relationships/image" Target="../media/image5.png"/><Relationship Id="rId5" Type="http://schemas.openxmlformats.org/officeDocument/2006/relationships/image" Target="../media/image6.png"/><Relationship Id="rId6" Type="http://schemas.openxmlformats.org/officeDocument/2006/relationships/image" Target="../media/image7.png"/><Relationship Id="rId7" Type="http://schemas.openxmlformats.org/officeDocument/2006/relationships/image" Target="../media/image8.png"/><Relationship Id="rId1" Type="http://schemas.openxmlformats.org/officeDocument/2006/relationships/image" Target="../media/image2.png"/><Relationship Id="rId2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0</xdr:rowOff>
        </xdr:from>
        <xdr:to>
          <xdr:col>2</xdr:col>
          <xdr:colOff>558800</xdr:colOff>
          <xdr:row>11</xdr:row>
          <xdr:rowOff>25400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6</xdr:col>
      <xdr:colOff>9878</xdr:colOff>
      <xdr:row>0</xdr:row>
      <xdr:rowOff>12700</xdr:rowOff>
    </xdr:from>
    <xdr:to>
      <xdr:col>14</xdr:col>
      <xdr:colOff>575734</xdr:colOff>
      <xdr:row>17</xdr:row>
      <xdr:rowOff>254000</xdr:rowOff>
    </xdr:to>
    <xdr:graphicFrame macro="">
      <xdr:nvGraphicFramePr>
        <xdr:cNvPr id="71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12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7171" name="Spinner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0</xdr:rowOff>
        </xdr:from>
        <xdr:to>
          <xdr:col>2</xdr:col>
          <xdr:colOff>558800</xdr:colOff>
          <xdr:row>7</xdr:row>
          <xdr:rowOff>25400</xdr:rowOff>
        </xdr:to>
        <xdr:sp macro="" textlink="">
          <xdr:nvSpPr>
            <xdr:cNvPr id="7172" name="Spinner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0</xdr:rowOff>
        </xdr:from>
        <xdr:to>
          <xdr:col>6</xdr:col>
          <xdr:colOff>12700</xdr:colOff>
          <xdr:row>7</xdr:row>
          <xdr:rowOff>25400</xdr:rowOff>
        </xdr:to>
        <xdr:sp macro="" textlink="">
          <xdr:nvSpPr>
            <xdr:cNvPr id="7173" name="Spinner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8</xdr:col>
      <xdr:colOff>520700</xdr:colOff>
      <xdr:row>0</xdr:row>
      <xdr:rowOff>139700</xdr:rowOff>
    </xdr:from>
    <xdr:to>
      <xdr:col>13</xdr:col>
      <xdr:colOff>292100</xdr:colOff>
      <xdr:row>1</xdr:row>
      <xdr:rowOff>177800</xdr:rowOff>
    </xdr:to>
    <xdr:sp macro="" textlink="">
      <xdr:nvSpPr>
        <xdr:cNvPr id="7174" name="Text Box 6"/>
        <xdr:cNvSpPr txBox="1">
          <a:spLocks noChangeArrowheads="1"/>
        </xdr:cNvSpPr>
      </xdr:nvSpPr>
      <xdr:spPr bwMode="auto">
        <a:xfrm>
          <a:off x="5143500" y="139700"/>
          <a:ext cx="2628900" cy="342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ABEA" mc:Ignorable="a14" a14:legacySpreadsheetColorIndex="1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32004" rIns="27432" bIns="0" anchor="t" upright="1"/>
        <a:lstStyle/>
        <a:p>
          <a:pPr algn="ctr" rtl="0">
            <a:defRPr sz="1000"/>
          </a:pPr>
          <a:r>
            <a:rPr lang="en-US" sz="2000" b="1" i="0" u="none" strike="noStrike" baseline="0">
              <a:solidFill>
                <a:srgbClr val="000000"/>
              </a:solidFill>
              <a:latin typeface="AngsanaUPC"/>
              <a:ea typeface="AngsanaUPC"/>
              <a:cs typeface="AngsanaUPC"/>
            </a:rPr>
            <a:t>Ricardian Trade Model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63500</xdr:colOff>
          <xdr:row>18</xdr:row>
          <xdr:rowOff>12700</xdr:rowOff>
        </xdr:from>
        <xdr:to>
          <xdr:col>3</xdr:col>
          <xdr:colOff>38100</xdr:colOff>
          <xdr:row>19</xdr:row>
          <xdr:rowOff>25400</xdr:rowOff>
        </xdr:to>
        <xdr:sp macro="" textlink="">
          <xdr:nvSpPr>
            <xdr:cNvPr id="7181" name="Option 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13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Show offer curve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381000</xdr:colOff>
      <xdr:row>0</xdr:row>
      <xdr:rowOff>12700</xdr:rowOff>
    </xdr:from>
    <xdr:to>
      <xdr:col>12</xdr:col>
      <xdr:colOff>241300</xdr:colOff>
      <xdr:row>12</xdr:row>
      <xdr:rowOff>25400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11</xdr:row>
          <xdr:rowOff>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12</xdr:col>
      <xdr:colOff>254000</xdr:colOff>
      <xdr:row>0</xdr:row>
      <xdr:rowOff>0</xdr:rowOff>
    </xdr:from>
    <xdr:to>
      <xdr:col>18</xdr:col>
      <xdr:colOff>508000</xdr:colOff>
      <xdr:row>12</xdr:row>
      <xdr:rowOff>25400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457200</xdr:colOff>
      <xdr:row>11</xdr:row>
      <xdr:rowOff>50800</xdr:rowOff>
    </xdr:from>
    <xdr:to>
      <xdr:col>12</xdr:col>
      <xdr:colOff>330200</xdr:colOff>
      <xdr:row>23</xdr:row>
      <xdr:rowOff>88900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25400</xdr:colOff>
          <xdr:row>8</xdr:row>
          <xdr:rowOff>0</xdr:rowOff>
        </xdr:from>
        <xdr:to>
          <xdr:col>5</xdr:col>
          <xdr:colOff>431800</xdr:colOff>
          <xdr:row>10</xdr:row>
          <xdr:rowOff>0</xdr:rowOff>
        </xdr:to>
        <xdr:sp macro="" textlink="">
          <xdr:nvSpPr>
            <xdr:cNvPr id="1032" name="Spinne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8</xdr:col>
      <xdr:colOff>38100</xdr:colOff>
      <xdr:row>0</xdr:row>
      <xdr:rowOff>0</xdr:rowOff>
    </xdr:from>
    <xdr:to>
      <xdr:col>10</xdr:col>
      <xdr:colOff>520700</xdr:colOff>
      <xdr:row>1</xdr:row>
      <xdr:rowOff>63500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4216400" y="0"/>
          <a:ext cx="162560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UPC"/>
              <a:ea typeface="AngsanaUPC"/>
              <a:cs typeface="AngsanaUPC"/>
            </a:rPr>
            <a:t>Home Equilibrium</a:t>
          </a:r>
        </a:p>
      </xdr:txBody>
    </xdr:sp>
    <xdr:clientData/>
  </xdr:twoCellAnchor>
  <xdr:twoCellAnchor>
    <xdr:from>
      <xdr:col>7</xdr:col>
      <xdr:colOff>76200</xdr:colOff>
      <xdr:row>11</xdr:row>
      <xdr:rowOff>38100</xdr:rowOff>
    </xdr:from>
    <xdr:to>
      <xdr:col>11</xdr:col>
      <xdr:colOff>203200</xdr:colOff>
      <xdr:row>12</xdr:row>
      <xdr:rowOff>101600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3683000" y="2832100"/>
          <a:ext cx="241300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22860" rIns="18288" bIns="22860" anchor="ctr" upright="1"/>
        <a:lstStyle/>
        <a:p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UPC"/>
              <a:ea typeface="AngsanaUPC"/>
              <a:cs typeface="AngsanaUPC"/>
            </a:rPr>
            <a:t>World Trade Equilibrium</a:t>
          </a:r>
        </a:p>
      </xdr:txBody>
    </xdr:sp>
    <xdr:clientData/>
  </xdr:twoCellAnchor>
  <xdr:twoCellAnchor>
    <xdr:from>
      <xdr:col>6</xdr:col>
      <xdr:colOff>228600</xdr:colOff>
      <xdr:row>11</xdr:row>
      <xdr:rowOff>101600</xdr:rowOff>
    </xdr:from>
    <xdr:to>
      <xdr:col>6</xdr:col>
      <xdr:colOff>520700</xdr:colOff>
      <xdr:row>12</xdr:row>
      <xdr:rowOff>165100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3200400" y="2895600"/>
          <a:ext cx="29210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AngsanaUPC"/>
              <a:ea typeface="AngsanaUPC"/>
              <a:cs typeface="AngsanaUPC"/>
            </a:rPr>
            <a:t>N*</a:t>
          </a:r>
        </a:p>
      </xdr:txBody>
    </xdr:sp>
    <xdr:clientData/>
  </xdr:twoCellAnchor>
  <xdr:twoCellAnchor>
    <xdr:from>
      <xdr:col>12</xdr:col>
      <xdr:colOff>355600</xdr:colOff>
      <xdr:row>12</xdr:row>
      <xdr:rowOff>25400</xdr:rowOff>
    </xdr:from>
    <xdr:to>
      <xdr:col>13</xdr:col>
      <xdr:colOff>444500</xdr:colOff>
      <xdr:row>15</xdr:row>
      <xdr:rowOff>63500</xdr:rowOff>
    </xdr:to>
    <xdr:sp macro="" textlink="">
      <xdr:nvSpPr>
        <xdr:cNvPr id="1036" name="AutoShape 12"/>
        <xdr:cNvSpPr>
          <a:spLocks noChangeArrowheads="1"/>
        </xdr:cNvSpPr>
      </xdr:nvSpPr>
      <xdr:spPr bwMode="auto">
        <a:xfrm rot="-10800000">
          <a:off x="6819900" y="3073400"/>
          <a:ext cx="660400" cy="800100"/>
        </a:xfrm>
        <a:custGeom>
          <a:avLst/>
          <a:gdLst>
            <a:gd name="G0" fmla="+- 15126 0 0"/>
            <a:gd name="G1" fmla="+- 2912 0 0"/>
            <a:gd name="G2" fmla="+- 12158 0 2912"/>
            <a:gd name="G3" fmla="+- G2 0 2912"/>
            <a:gd name="G4" fmla="*/ G3 32768 32059"/>
            <a:gd name="G5" fmla="*/ G4 1 2"/>
            <a:gd name="G6" fmla="+- 21600 0 15126"/>
            <a:gd name="G7" fmla="*/ G6 2912 6079"/>
            <a:gd name="G8" fmla="+- G7 15126 0"/>
            <a:gd name="T0" fmla="*/ 15126 w 21600"/>
            <a:gd name="T1" fmla="*/ 0 h 21600"/>
            <a:gd name="T2" fmla="*/ 15126 w 21600"/>
            <a:gd name="T3" fmla="*/ 12158 h 21600"/>
            <a:gd name="T4" fmla="*/ 3237 w 21600"/>
            <a:gd name="T5" fmla="*/ 21600 h 21600"/>
            <a:gd name="T6" fmla="*/ 21600 w 21600"/>
            <a:gd name="T7" fmla="*/ 6079 h 21600"/>
            <a:gd name="T8" fmla="*/ 17694720 60000 65536"/>
            <a:gd name="T9" fmla="*/ 5898240 60000 65536"/>
            <a:gd name="T10" fmla="*/ 5898240 60000 65536"/>
            <a:gd name="T11" fmla="*/ 0 60000 65536"/>
            <a:gd name="T12" fmla="*/ 12427 w 21600"/>
            <a:gd name="T13" fmla="*/ G1 h 21600"/>
            <a:gd name="T14" fmla="*/ G8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21600" y="6079"/>
              </a:moveTo>
              <a:lnTo>
                <a:pt x="15126" y="0"/>
              </a:lnTo>
              <a:lnTo>
                <a:pt x="15126" y="2912"/>
              </a:lnTo>
              <a:lnTo>
                <a:pt x="12427" y="2912"/>
              </a:lnTo>
              <a:cubicBezTo>
                <a:pt x="5564" y="2912"/>
                <a:pt x="0" y="7052"/>
                <a:pt x="0" y="12158"/>
              </a:cubicBezTo>
              <a:lnTo>
                <a:pt x="0" y="21600"/>
              </a:lnTo>
              <a:lnTo>
                <a:pt x="6474" y="21600"/>
              </a:lnTo>
              <a:lnTo>
                <a:pt x="6474" y="12158"/>
              </a:lnTo>
              <a:cubicBezTo>
                <a:pt x="6474" y="10550"/>
                <a:pt x="9139" y="9246"/>
                <a:pt x="12427" y="9246"/>
              </a:cubicBezTo>
              <a:lnTo>
                <a:pt x="15126" y="9246"/>
              </a:lnTo>
              <a:lnTo>
                <a:pt x="15126" y="12158"/>
              </a:lnTo>
              <a:close/>
            </a:path>
          </a:pathLst>
        </a:custGeom>
        <a:gradFill rotWithShape="0">
          <a:gsLst>
            <a:gs pos="0">
              <a:srgbClr xmlns:mc="http://schemas.openxmlformats.org/markup-compatibility/2006" xmlns:a14="http://schemas.microsoft.com/office/drawing/2010/main" val="CCFFFF" mc:Ignorable="a14" a14:legacySpreadsheetColorIndex="41"/>
            </a:gs>
            <a:gs pos="100000">
              <a:srgbClr xmlns:mc="http://schemas.openxmlformats.org/markup-compatibility/2006" xmlns:a14="http://schemas.microsoft.com/office/drawing/2010/main" val="00ABEA" mc:Ignorable="a14" a14:legacySpreadsheetColorIndex="15"/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 editAs="oneCell">
    <xdr:from>
      <xdr:col>14</xdr:col>
      <xdr:colOff>215900</xdr:colOff>
      <xdr:row>16</xdr:row>
      <xdr:rowOff>101600</xdr:rowOff>
    </xdr:from>
    <xdr:to>
      <xdr:col>19</xdr:col>
      <xdr:colOff>139700</xdr:colOff>
      <xdr:row>21</xdr:row>
      <xdr:rowOff>203200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3200" y="4165600"/>
          <a:ext cx="27813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0.38354</cdr:x>
      <cdr:y>0.01646</cdr:y>
    </cdr:from>
    <cdr:to>
      <cdr:x>0.77571</cdr:x>
      <cdr:y>0.11244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17457" y="50800"/>
          <a:ext cx="1449320" cy="2962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0" tIns="0" rIns="0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800" b="1" i="0" u="none" strike="noStrike" baseline="0">
              <a:solidFill>
                <a:srgbClr val="000000"/>
              </a:solidFill>
              <a:latin typeface="AngsanaUPC"/>
              <a:ea typeface="AngsanaUPC"/>
              <a:cs typeface="AngsanaUPC"/>
            </a:rPr>
            <a:t>Foreign Equilibrium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12700</xdr:rowOff>
    </xdr:from>
    <xdr:to>
      <xdr:col>16</xdr:col>
      <xdr:colOff>469900</xdr:colOff>
      <xdr:row>26</xdr:row>
      <xdr:rowOff>76200</xdr:rowOff>
    </xdr:to>
    <xdr:pic>
      <xdr:nvPicPr>
        <xdr:cNvPr id="9220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2700"/>
          <a:ext cx="10350500" cy="600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16</xdr:col>
      <xdr:colOff>457200</xdr:colOff>
      <xdr:row>52</xdr:row>
      <xdr:rowOff>63500</xdr:rowOff>
    </xdr:to>
    <xdr:pic>
      <xdr:nvPicPr>
        <xdr:cNvPr id="9221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43600"/>
          <a:ext cx="10363200" cy="600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52</xdr:row>
      <xdr:rowOff>0</xdr:rowOff>
    </xdr:from>
    <xdr:to>
      <xdr:col>16</xdr:col>
      <xdr:colOff>444500</xdr:colOff>
      <xdr:row>78</xdr:row>
      <xdr:rowOff>63500</xdr:rowOff>
    </xdr:to>
    <xdr:pic>
      <xdr:nvPicPr>
        <xdr:cNvPr id="9222" name="Pictur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887200"/>
          <a:ext cx="10350500" cy="600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78</xdr:row>
      <xdr:rowOff>0</xdr:rowOff>
    </xdr:from>
    <xdr:to>
      <xdr:col>16</xdr:col>
      <xdr:colOff>457200</xdr:colOff>
      <xdr:row>104</xdr:row>
      <xdr:rowOff>63500</xdr:rowOff>
    </xdr:to>
    <xdr:pic>
      <xdr:nvPicPr>
        <xdr:cNvPr id="9223" name="Picture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830800"/>
          <a:ext cx="10363200" cy="600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104</xdr:row>
      <xdr:rowOff>0</xdr:rowOff>
    </xdr:from>
    <xdr:to>
      <xdr:col>16</xdr:col>
      <xdr:colOff>495300</xdr:colOff>
      <xdr:row>130</xdr:row>
      <xdr:rowOff>101600</xdr:rowOff>
    </xdr:to>
    <xdr:pic>
      <xdr:nvPicPr>
        <xdr:cNvPr id="9224" name="Pictur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774400"/>
          <a:ext cx="10401300" cy="604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130</xdr:row>
      <xdr:rowOff>0</xdr:rowOff>
    </xdr:from>
    <xdr:to>
      <xdr:col>16</xdr:col>
      <xdr:colOff>444500</xdr:colOff>
      <xdr:row>156</xdr:row>
      <xdr:rowOff>38100</xdr:rowOff>
    </xdr:to>
    <xdr:pic>
      <xdr:nvPicPr>
        <xdr:cNvPr id="9225" name="Picture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718000"/>
          <a:ext cx="10350500" cy="598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16</xdr:col>
      <xdr:colOff>457200</xdr:colOff>
      <xdr:row>182</xdr:row>
      <xdr:rowOff>76200</xdr:rowOff>
    </xdr:to>
    <xdr:pic>
      <xdr:nvPicPr>
        <xdr:cNvPr id="9226" name="Picture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661600"/>
          <a:ext cx="10363200" cy="601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4" Type="http://schemas.openxmlformats.org/officeDocument/2006/relationships/ctrlProp" Target="../ctrlProps/ctrlProp7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65536"/>
  <sheetViews>
    <sheetView tabSelected="1" zoomScale="87" zoomScaleNormal="90" zoomScalePageLayoutView="90" workbookViewId="0">
      <selection activeCell="E25" sqref="E25"/>
    </sheetView>
  </sheetViews>
  <sheetFormatPr baseColWidth="10" defaultColWidth="9" defaultRowHeight="18" x14ac:dyDescent="0.2"/>
  <cols>
    <col min="1" max="1" width="9" customWidth="1"/>
    <col min="2" max="2" width="7.59765625" customWidth="1"/>
    <col min="3" max="3" width="9" customWidth="1"/>
    <col min="4" max="4" width="7" customWidth="1"/>
    <col min="5" max="5" width="11.3984375" customWidth="1"/>
    <col min="6" max="6" width="10.796875" customWidth="1"/>
  </cols>
  <sheetData>
    <row r="1" spans="1:27" ht="24" customHeight="1" x14ac:dyDescent="0.25">
      <c r="A1" s="33" t="s">
        <v>61</v>
      </c>
      <c r="P1" s="95" t="s">
        <v>89</v>
      </c>
      <c r="T1" s="12" t="s">
        <v>4</v>
      </c>
      <c r="U1" s="14"/>
    </row>
    <row r="2" spans="1:27" ht="24" customHeight="1" x14ac:dyDescent="0.25">
      <c r="A2" s="34" t="s">
        <v>29</v>
      </c>
      <c r="P2" s="95" t="s">
        <v>115</v>
      </c>
      <c r="T2" s="15" t="s">
        <v>91</v>
      </c>
      <c r="U2" s="16" t="s">
        <v>92</v>
      </c>
      <c r="Y2" t="s">
        <v>91</v>
      </c>
      <c r="Z2" t="s">
        <v>109</v>
      </c>
      <c r="AA2" t="s">
        <v>110</v>
      </c>
    </row>
    <row r="3" spans="1:27" ht="24" customHeight="1" x14ac:dyDescent="0.25">
      <c r="A3" s="43" t="s">
        <v>112</v>
      </c>
      <c r="P3" s="96" t="s">
        <v>136</v>
      </c>
      <c r="T3" s="17">
        <v>0</v>
      </c>
      <c r="U3" s="7">
        <f>B10/E6</f>
        <v>40</v>
      </c>
      <c r="Y3">
        <v>1</v>
      </c>
      <c r="Z3" s="2">
        <f>$W$9/Y3</f>
        <v>200</v>
      </c>
      <c r="AA3" s="2">
        <f>$W$19/Y3</f>
        <v>444.44444444444446</v>
      </c>
    </row>
    <row r="4" spans="1:27" ht="24" customHeight="1" x14ac:dyDescent="0.25">
      <c r="A4" s="42" t="s">
        <v>108</v>
      </c>
      <c r="B4" s="41"/>
      <c r="T4" s="18">
        <f>B10/B6</f>
        <v>20</v>
      </c>
      <c r="U4" s="11">
        <v>0</v>
      </c>
      <c r="Y4">
        <v>2</v>
      </c>
      <c r="Z4" s="2">
        <f t="shared" ref="Z4:Z67" si="0">$W$9/Y4</f>
        <v>100</v>
      </c>
      <c r="AA4" s="2">
        <f t="shared" ref="AA4:AA67" si="1">$W$19/Y4</f>
        <v>222.22222222222223</v>
      </c>
    </row>
    <row r="5" spans="1:27" ht="24" customHeight="1" x14ac:dyDescent="0.25">
      <c r="A5" s="98" t="s">
        <v>107</v>
      </c>
      <c r="B5" s="99"/>
      <c r="C5" s="99"/>
      <c r="D5" s="99"/>
      <c r="E5" s="99"/>
      <c r="F5" s="100"/>
      <c r="T5" s="12" t="s">
        <v>33</v>
      </c>
      <c r="U5" s="13"/>
      <c r="Y5">
        <v>3</v>
      </c>
      <c r="Z5" s="2">
        <f t="shared" si="0"/>
        <v>66.666666666666671</v>
      </c>
      <c r="AA5" s="2">
        <f t="shared" si="1"/>
        <v>148.14814814814815</v>
      </c>
    </row>
    <row r="6" spans="1:27" ht="24" customHeight="1" x14ac:dyDescent="0.35">
      <c r="A6" s="54" t="s">
        <v>137</v>
      </c>
      <c r="B6" s="55">
        <f>C6/2</f>
        <v>8</v>
      </c>
      <c r="C6" s="56">
        <v>16</v>
      </c>
      <c r="D6" s="54" t="s">
        <v>138</v>
      </c>
      <c r="E6" s="55">
        <f>F6/2</f>
        <v>4</v>
      </c>
      <c r="F6" s="57">
        <v>8</v>
      </c>
      <c r="T6" s="19" t="s">
        <v>96</v>
      </c>
      <c r="U6" s="3">
        <v>1</v>
      </c>
      <c r="V6" s="20" t="s">
        <v>103</v>
      </c>
      <c r="W6" s="3">
        <f>U8/(2*U6)</f>
        <v>10</v>
      </c>
      <c r="Y6">
        <v>4</v>
      </c>
      <c r="Z6" s="2">
        <f t="shared" si="0"/>
        <v>50</v>
      </c>
      <c r="AA6" s="2">
        <f t="shared" si="1"/>
        <v>111.11111111111111</v>
      </c>
    </row>
    <row r="7" spans="1:27" ht="24" customHeight="1" x14ac:dyDescent="0.25">
      <c r="A7" s="58"/>
      <c r="B7" s="59"/>
      <c r="C7" s="59"/>
      <c r="D7" s="59"/>
      <c r="E7" s="59"/>
      <c r="F7" s="60"/>
      <c r="T7" s="4" t="s">
        <v>95</v>
      </c>
      <c r="U7" s="7">
        <f>E6/B6</f>
        <v>0.5</v>
      </c>
      <c r="V7" s="6" t="s">
        <v>104</v>
      </c>
      <c r="W7" s="26">
        <f>U8/(2*U7)</f>
        <v>20</v>
      </c>
      <c r="Y7">
        <v>5</v>
      </c>
      <c r="Z7" s="2">
        <f t="shared" si="0"/>
        <v>40</v>
      </c>
      <c r="AA7" s="2">
        <f t="shared" si="1"/>
        <v>88.888888888888886</v>
      </c>
    </row>
    <row r="8" spans="1:27" ht="24" customHeight="1" x14ac:dyDescent="0.35">
      <c r="A8" s="61" t="s">
        <v>139</v>
      </c>
      <c r="B8" s="49"/>
      <c r="C8" s="49"/>
      <c r="D8" s="49"/>
      <c r="E8" s="49"/>
      <c r="F8" s="49"/>
      <c r="T8" s="4" t="s">
        <v>94</v>
      </c>
      <c r="U8" s="7">
        <f>U6*B10/B6</f>
        <v>20</v>
      </c>
      <c r="V8" s="6" t="s">
        <v>105</v>
      </c>
      <c r="W8" s="7">
        <f>U6/aH</f>
        <v>0.125</v>
      </c>
      <c r="Y8">
        <v>6</v>
      </c>
      <c r="Z8" s="2">
        <f t="shared" si="0"/>
        <v>33.333333333333336</v>
      </c>
      <c r="AA8" s="2">
        <f t="shared" si="1"/>
        <v>74.074074074074076</v>
      </c>
    </row>
    <row r="9" spans="1:27" ht="24" customHeight="1" x14ac:dyDescent="0.25">
      <c r="A9" s="101" t="s">
        <v>18</v>
      </c>
      <c r="B9" s="102"/>
      <c r="C9" s="103"/>
      <c r="D9" s="49"/>
      <c r="E9" s="62"/>
      <c r="F9" s="63"/>
      <c r="T9" s="8" t="s">
        <v>93</v>
      </c>
      <c r="U9" s="11">
        <f>U6/U7</f>
        <v>2</v>
      </c>
      <c r="V9" s="10" t="s">
        <v>106</v>
      </c>
      <c r="W9" s="11">
        <f>W6*W7</f>
        <v>200</v>
      </c>
      <c r="Y9">
        <v>7</v>
      </c>
      <c r="Z9" s="2">
        <f t="shared" si="0"/>
        <v>28.571428571428573</v>
      </c>
      <c r="AA9" s="2">
        <f t="shared" si="1"/>
        <v>63.492063492063494</v>
      </c>
    </row>
    <row r="10" spans="1:27" ht="24" customHeight="1" x14ac:dyDescent="0.35">
      <c r="A10" s="64" t="s">
        <v>140</v>
      </c>
      <c r="B10" s="65">
        <v>160</v>
      </c>
      <c r="C10" s="66"/>
      <c r="D10" s="49"/>
      <c r="E10" s="67" t="s">
        <v>125</v>
      </c>
      <c r="F10" s="68"/>
      <c r="G10" s="45"/>
      <c r="T10" s="12" t="s">
        <v>122</v>
      </c>
      <c r="U10" s="14"/>
      <c r="Y10">
        <v>8</v>
      </c>
      <c r="Z10" s="2">
        <f t="shared" si="0"/>
        <v>25</v>
      </c>
      <c r="AA10" s="2">
        <f t="shared" si="1"/>
        <v>55.555555555555557</v>
      </c>
    </row>
    <row r="11" spans="1:27" ht="24" customHeight="1" x14ac:dyDescent="0.35">
      <c r="A11" s="58"/>
      <c r="B11" s="59"/>
      <c r="C11" s="60"/>
      <c r="D11" s="49"/>
      <c r="E11" s="69" t="s">
        <v>141</v>
      </c>
      <c r="F11" s="70">
        <f>W6</f>
        <v>10</v>
      </c>
      <c r="G11" s="45"/>
      <c r="T11" s="15" t="s">
        <v>91</v>
      </c>
      <c r="U11" s="16" t="s">
        <v>92</v>
      </c>
      <c r="Y11">
        <v>9</v>
      </c>
      <c r="Z11" s="2">
        <f t="shared" si="0"/>
        <v>22.222222222222221</v>
      </c>
      <c r="AA11" s="2">
        <f t="shared" si="1"/>
        <v>49.382716049382715</v>
      </c>
    </row>
    <row r="12" spans="1:27" ht="24" customHeight="1" x14ac:dyDescent="0.35">
      <c r="A12" s="49"/>
      <c r="B12" s="49"/>
      <c r="C12" s="49"/>
      <c r="D12" s="49"/>
      <c r="E12" s="71" t="s">
        <v>142</v>
      </c>
      <c r="F12" s="70">
        <f>W7</f>
        <v>20</v>
      </c>
      <c r="T12" s="17">
        <v>0</v>
      </c>
      <c r="U12" s="7">
        <f>IF(B13&lt;U9,U3,B13*T4)</f>
        <v>40</v>
      </c>
      <c r="Y12">
        <v>10</v>
      </c>
      <c r="Z12" s="2">
        <f t="shared" si="0"/>
        <v>20</v>
      </c>
      <c r="AA12" s="2">
        <f t="shared" si="1"/>
        <v>44.444444444444443</v>
      </c>
    </row>
    <row r="13" spans="1:27" ht="24" customHeight="1" x14ac:dyDescent="0.35">
      <c r="A13" s="54" t="s">
        <v>143</v>
      </c>
      <c r="B13" s="55">
        <f>C13/10</f>
        <v>0.9</v>
      </c>
      <c r="C13" s="57">
        <v>9</v>
      </c>
      <c r="D13" s="49"/>
      <c r="E13" s="72" t="s">
        <v>144</v>
      </c>
      <c r="F13" s="70">
        <f>U9</f>
        <v>2</v>
      </c>
      <c r="T13" s="40">
        <f>T14/2</f>
        <v>22.222222222222221</v>
      </c>
      <c r="U13" s="7">
        <f>U12/2</f>
        <v>20</v>
      </c>
      <c r="Y13">
        <v>11</v>
      </c>
      <c r="Z13" s="2">
        <f t="shared" si="0"/>
        <v>18.181818181818183</v>
      </c>
      <c r="AA13" s="2">
        <f t="shared" si="1"/>
        <v>40.404040404040408</v>
      </c>
    </row>
    <row r="14" spans="1:27" ht="24" customHeight="1" x14ac:dyDescent="0.25">
      <c r="A14" s="63"/>
      <c r="B14" s="63"/>
      <c r="C14" s="66"/>
      <c r="D14" s="49"/>
      <c r="E14" s="49"/>
      <c r="F14" s="49"/>
      <c r="T14" s="23">
        <f>IF(B13&gt;=U9,T4,U3/B13)</f>
        <v>44.444444444444443</v>
      </c>
      <c r="U14" s="11">
        <f>IF(B13&gt;=U9,0,B10/E6-B13*T14)</f>
        <v>0</v>
      </c>
      <c r="Y14">
        <v>12</v>
      </c>
      <c r="Z14" s="2">
        <f t="shared" si="0"/>
        <v>16.666666666666668</v>
      </c>
      <c r="AA14" s="2">
        <f t="shared" si="1"/>
        <v>37.037037037037038</v>
      </c>
    </row>
    <row r="15" spans="1:27" ht="24" customHeight="1" x14ac:dyDescent="0.25">
      <c r="A15" s="104" t="s">
        <v>124</v>
      </c>
      <c r="B15" s="105"/>
      <c r="C15" s="105"/>
      <c r="D15" s="105"/>
      <c r="E15" s="105"/>
      <c r="F15" s="106"/>
      <c r="T15" s="12" t="s">
        <v>46</v>
      </c>
      <c r="U15" s="13"/>
      <c r="V15" s="13"/>
      <c r="W15" s="14"/>
      <c r="Y15">
        <v>13</v>
      </c>
      <c r="Z15" s="2">
        <f t="shared" si="0"/>
        <v>15.384615384615385</v>
      </c>
      <c r="AA15" s="2">
        <f t="shared" si="1"/>
        <v>34.188034188034187</v>
      </c>
    </row>
    <row r="16" spans="1:27" ht="24" customHeight="1" x14ac:dyDescent="0.35">
      <c r="A16" s="54" t="s">
        <v>145</v>
      </c>
      <c r="B16" s="70">
        <f>W16</f>
        <v>22.222222222222221</v>
      </c>
      <c r="C16" s="54" t="s">
        <v>146</v>
      </c>
      <c r="D16" s="70">
        <f>IF(B13&gt;U9,B10/B6,IF(B13=U9,W16,0))</f>
        <v>0</v>
      </c>
      <c r="E16" s="73" t="str">
        <f>IF(B13&gt;U9,"Export X =",IF(B13=U9,"-","Import X ="))</f>
        <v>Import X =</v>
      </c>
      <c r="F16" s="74">
        <f>IF(B13&gt;U9,D16-B16,IF(B13&lt;U9,B16-D16,"-"))</f>
        <v>22.222222222222221</v>
      </c>
      <c r="T16" s="19" t="s">
        <v>97</v>
      </c>
      <c r="U16" s="27">
        <v>1</v>
      </c>
      <c r="V16" s="20" t="s">
        <v>100</v>
      </c>
      <c r="W16" s="24">
        <f>U18/(2*U16)</f>
        <v>22.222222222222221</v>
      </c>
      <c r="Y16">
        <v>14</v>
      </c>
      <c r="Z16" s="2">
        <f t="shared" si="0"/>
        <v>14.285714285714286</v>
      </c>
      <c r="AA16" s="2">
        <f t="shared" si="1"/>
        <v>31.746031746031747</v>
      </c>
    </row>
    <row r="17" spans="1:27" ht="24" customHeight="1" x14ac:dyDescent="0.35">
      <c r="A17" s="54" t="s">
        <v>147</v>
      </c>
      <c r="B17" s="70">
        <f>W17</f>
        <v>20</v>
      </c>
      <c r="C17" s="54" t="s">
        <v>148</v>
      </c>
      <c r="D17" s="70">
        <f>IF(B13&lt;U9,B10/E6,IF(B13&gt;U9,0,B17))</f>
        <v>40</v>
      </c>
      <c r="E17" s="73" t="str">
        <f>IF(B13&gt;U9,"Import Y =",IF(B13=U9,"-","Export Y ="))</f>
        <v>Export Y =</v>
      </c>
      <c r="F17" s="74">
        <f>IF(B13&gt;U9,B17-D17,IF(B13&lt;U9,D17-B17,"-"))</f>
        <v>20</v>
      </c>
      <c r="G17">
        <v>1</v>
      </c>
      <c r="T17" s="4" t="s">
        <v>98</v>
      </c>
      <c r="U17" s="28">
        <f>1/B13</f>
        <v>1.1111111111111112</v>
      </c>
      <c r="V17" s="6" t="s">
        <v>101</v>
      </c>
      <c r="W17" s="26">
        <f>U18/(2*U17)</f>
        <v>20</v>
      </c>
      <c r="Y17">
        <v>15</v>
      </c>
      <c r="Z17" s="2">
        <f t="shared" si="0"/>
        <v>13.333333333333334</v>
      </c>
      <c r="AA17" s="2">
        <f t="shared" si="1"/>
        <v>29.62962962962963</v>
      </c>
    </row>
    <row r="18" spans="1:27" ht="24" customHeight="1" x14ac:dyDescent="0.25">
      <c r="A18" s="75" t="s">
        <v>111</v>
      </c>
      <c r="B18" s="76">
        <f>W18</f>
        <v>0.27777777777777779</v>
      </c>
      <c r="C18" s="49"/>
      <c r="D18" s="49"/>
      <c r="E18" s="49"/>
      <c r="F18" s="49"/>
      <c r="T18" s="4" t="s">
        <v>99</v>
      </c>
      <c r="U18" s="28">
        <f>W18*B10</f>
        <v>44.444444444444443</v>
      </c>
      <c r="V18" s="6" t="s">
        <v>102</v>
      </c>
      <c r="W18" s="29">
        <f>IF(B13&gt;=U9,U16/B6,U17/E6)</f>
        <v>0.27777777777777779</v>
      </c>
      <c r="Y18">
        <v>16</v>
      </c>
      <c r="Z18" s="2">
        <f t="shared" si="0"/>
        <v>12.5</v>
      </c>
      <c r="AA18" s="2">
        <f t="shared" si="1"/>
        <v>27.777777777777779</v>
      </c>
    </row>
    <row r="19" spans="1:27" ht="20" x14ac:dyDescent="0.25">
      <c r="C19">
        <v>1</v>
      </c>
      <c r="T19" s="18"/>
      <c r="U19" s="9"/>
      <c r="V19" s="6" t="s">
        <v>102</v>
      </c>
      <c r="W19" s="30">
        <f>W16*W17</f>
        <v>444.44444444444446</v>
      </c>
      <c r="Y19">
        <v>17</v>
      </c>
      <c r="Z19" s="2">
        <f t="shared" si="0"/>
        <v>11.764705882352942</v>
      </c>
      <c r="AA19" s="2">
        <f t="shared" si="1"/>
        <v>26.143790849673202</v>
      </c>
    </row>
    <row r="20" spans="1:27" ht="20" x14ac:dyDescent="0.25">
      <c r="T20" s="12" t="s">
        <v>27</v>
      </c>
      <c r="U20" s="14"/>
      <c r="V20" s="6" t="s">
        <v>102</v>
      </c>
      <c r="W20" s="14"/>
      <c r="Y20">
        <v>18</v>
      </c>
      <c r="Z20" s="2">
        <f t="shared" si="0"/>
        <v>11.111111111111111</v>
      </c>
      <c r="AA20" s="2">
        <f t="shared" si="1"/>
        <v>24.691358024691358</v>
      </c>
    </row>
    <row r="21" spans="1:27" ht="20" x14ac:dyDescent="0.25">
      <c r="T21" s="25">
        <f>IF(B13&lt;U9,0,T4)</f>
        <v>0</v>
      </c>
      <c r="U21" s="3">
        <f>IF(B13&lt;U9,U3,0)</f>
        <v>40</v>
      </c>
      <c r="V21" s="6" t="s">
        <v>102</v>
      </c>
      <c r="W21" s="3">
        <f>U3</f>
        <v>40</v>
      </c>
      <c r="Y21">
        <v>19</v>
      </c>
      <c r="Z21" s="2">
        <f t="shared" si="0"/>
        <v>10.526315789473685</v>
      </c>
      <c r="AA21" s="2">
        <f t="shared" si="1"/>
        <v>23.391812865497077</v>
      </c>
    </row>
    <row r="22" spans="1:27" ht="20" x14ac:dyDescent="0.25">
      <c r="T22" s="17">
        <f>W6</f>
        <v>10</v>
      </c>
      <c r="U22" s="26">
        <f>W7</f>
        <v>20</v>
      </c>
      <c r="V22" s="6" t="s">
        <v>102</v>
      </c>
      <c r="W22" s="7">
        <f>IF(PW=PHA,U3,X2HT)</f>
        <v>20</v>
      </c>
      <c r="Y22">
        <v>20</v>
      </c>
      <c r="Z22" s="2">
        <f t="shared" si="0"/>
        <v>10</v>
      </c>
      <c r="AA22" s="2">
        <f t="shared" si="1"/>
        <v>22.222222222222221</v>
      </c>
    </row>
    <row r="23" spans="1:27" ht="20" x14ac:dyDescent="0.25">
      <c r="T23" s="31">
        <f>W16</f>
        <v>22.222222222222221</v>
      </c>
      <c r="U23" s="26">
        <f>W17</f>
        <v>20</v>
      </c>
      <c r="V23" s="6" t="s">
        <v>102</v>
      </c>
      <c r="W23" s="7">
        <f>IF(PW=PHA,U3,X2HT)</f>
        <v>20</v>
      </c>
      <c r="Y23">
        <v>21</v>
      </c>
      <c r="Z23" s="2">
        <f t="shared" si="0"/>
        <v>9.5238095238095237</v>
      </c>
      <c r="AA23" s="2">
        <f t="shared" si="1"/>
        <v>21.164021164021165</v>
      </c>
    </row>
    <row r="24" spans="1:27" ht="20" x14ac:dyDescent="0.25">
      <c r="T24" s="32">
        <f>IF(B13=U9,W16,IF(B13&lt;U9,W16+5,W16))</f>
        <v>27.222222222222221</v>
      </c>
      <c r="U24" s="11">
        <f>IF(B13=U9,W17,IF(B13&lt;U9,W17,W17+5))</f>
        <v>20</v>
      </c>
      <c r="V24" s="6" t="s">
        <v>102</v>
      </c>
      <c r="W24" s="11">
        <f>W21</f>
        <v>40</v>
      </c>
      <c r="Y24">
        <v>22</v>
      </c>
      <c r="Z24" s="2">
        <f t="shared" si="0"/>
        <v>9.0909090909090917</v>
      </c>
      <c r="AA24" s="2">
        <f t="shared" si="1"/>
        <v>20.202020202020204</v>
      </c>
    </row>
    <row r="25" spans="1:27" x14ac:dyDescent="0.2">
      <c r="Y25">
        <v>23</v>
      </c>
      <c r="Z25" s="2">
        <f t="shared" si="0"/>
        <v>8.695652173913043</v>
      </c>
      <c r="AA25" s="2">
        <f t="shared" si="1"/>
        <v>19.323671497584542</v>
      </c>
    </row>
    <row r="26" spans="1:27" x14ac:dyDescent="0.2">
      <c r="Y26">
        <v>24</v>
      </c>
      <c r="Z26" s="2">
        <f t="shared" si="0"/>
        <v>8.3333333333333339</v>
      </c>
      <c r="AA26" s="2">
        <f t="shared" si="1"/>
        <v>18.518518518518519</v>
      </c>
    </row>
    <row r="27" spans="1:27" ht="20" x14ac:dyDescent="0.25">
      <c r="T27" t="s">
        <v>155</v>
      </c>
      <c r="U27" s="97">
        <f>U6*W6+U7*W7</f>
        <v>20</v>
      </c>
      <c r="Y27">
        <v>25</v>
      </c>
      <c r="Z27" s="2">
        <f t="shared" si="0"/>
        <v>8</v>
      </c>
      <c r="AA27" s="2">
        <f t="shared" si="1"/>
        <v>17.777777777777779</v>
      </c>
    </row>
    <row r="28" spans="1:27" ht="20" x14ac:dyDescent="0.25">
      <c r="T28" t="s">
        <v>156</v>
      </c>
      <c r="U28" s="97">
        <f>U16*W6+U17*W7</f>
        <v>32.222222222222221</v>
      </c>
      <c r="Y28">
        <v>26</v>
      </c>
      <c r="Z28" s="2">
        <f t="shared" si="0"/>
        <v>7.6923076923076925</v>
      </c>
      <c r="AA28" s="2">
        <f t="shared" si="1"/>
        <v>17.094017094017094</v>
      </c>
    </row>
    <row r="29" spans="1:27" ht="20" x14ac:dyDescent="0.25">
      <c r="T29" t="s">
        <v>157</v>
      </c>
      <c r="U29" s="97">
        <f>U16*W16+U17*W17</f>
        <v>44.444444444444443</v>
      </c>
      <c r="Y29">
        <v>27</v>
      </c>
      <c r="Z29" s="2">
        <f t="shared" si="0"/>
        <v>7.4074074074074074</v>
      </c>
      <c r="AA29" s="2">
        <f t="shared" si="1"/>
        <v>16.460905349794238</v>
      </c>
    </row>
    <row r="30" spans="1:27" x14ac:dyDescent="0.2">
      <c r="Y30">
        <v>28</v>
      </c>
      <c r="Z30" s="2">
        <f t="shared" si="0"/>
        <v>7.1428571428571432</v>
      </c>
      <c r="AA30" s="2">
        <f t="shared" si="1"/>
        <v>15.873015873015873</v>
      </c>
    </row>
    <row r="31" spans="1:27" x14ac:dyDescent="0.2">
      <c r="Y31">
        <v>29</v>
      </c>
      <c r="Z31" s="2">
        <f t="shared" si="0"/>
        <v>6.8965517241379306</v>
      </c>
      <c r="AA31" s="2">
        <f t="shared" si="1"/>
        <v>15.325670498084291</v>
      </c>
    </row>
    <row r="32" spans="1:27" x14ac:dyDescent="0.2">
      <c r="Y32">
        <v>30</v>
      </c>
      <c r="Z32" s="2">
        <f t="shared" si="0"/>
        <v>6.666666666666667</v>
      </c>
      <c r="AA32" s="2">
        <f t="shared" si="1"/>
        <v>14.814814814814815</v>
      </c>
    </row>
    <row r="33" spans="25:27" x14ac:dyDescent="0.2">
      <c r="Y33">
        <v>31</v>
      </c>
      <c r="Z33" s="2">
        <f t="shared" si="0"/>
        <v>6.4516129032258061</v>
      </c>
      <c r="AA33" s="2">
        <f t="shared" si="1"/>
        <v>14.336917562724015</v>
      </c>
    </row>
    <row r="34" spans="25:27" x14ac:dyDescent="0.2">
      <c r="Y34">
        <v>32</v>
      </c>
      <c r="Z34" s="2">
        <f t="shared" si="0"/>
        <v>6.25</v>
      </c>
      <c r="AA34" s="2">
        <f t="shared" si="1"/>
        <v>13.888888888888889</v>
      </c>
    </row>
    <row r="35" spans="25:27" x14ac:dyDescent="0.2">
      <c r="Y35">
        <v>33</v>
      </c>
      <c r="Z35" s="2">
        <f t="shared" si="0"/>
        <v>6.0606060606060606</v>
      </c>
      <c r="AA35" s="2">
        <f t="shared" si="1"/>
        <v>13.468013468013469</v>
      </c>
    </row>
    <row r="36" spans="25:27" x14ac:dyDescent="0.2">
      <c r="Y36">
        <v>34</v>
      </c>
      <c r="Z36" s="2">
        <f t="shared" si="0"/>
        <v>5.882352941176471</v>
      </c>
      <c r="AA36" s="2">
        <f t="shared" si="1"/>
        <v>13.071895424836601</v>
      </c>
    </row>
    <row r="37" spans="25:27" x14ac:dyDescent="0.2">
      <c r="Y37">
        <v>35</v>
      </c>
      <c r="Z37" s="2">
        <f t="shared" si="0"/>
        <v>5.7142857142857144</v>
      </c>
      <c r="AA37" s="2">
        <f t="shared" si="1"/>
        <v>12.698412698412699</v>
      </c>
    </row>
    <row r="38" spans="25:27" x14ac:dyDescent="0.2">
      <c r="Y38">
        <v>36</v>
      </c>
      <c r="Z38" s="2">
        <f t="shared" si="0"/>
        <v>5.5555555555555554</v>
      </c>
      <c r="AA38" s="2">
        <f t="shared" si="1"/>
        <v>12.345679012345679</v>
      </c>
    </row>
    <row r="39" spans="25:27" x14ac:dyDescent="0.2">
      <c r="Y39">
        <v>37</v>
      </c>
      <c r="Z39" s="2">
        <f t="shared" si="0"/>
        <v>5.4054054054054053</v>
      </c>
      <c r="AA39" s="2">
        <f t="shared" si="1"/>
        <v>12.012012012012013</v>
      </c>
    </row>
    <row r="40" spans="25:27" x14ac:dyDescent="0.2">
      <c r="Y40">
        <v>38</v>
      </c>
      <c r="Z40" s="2">
        <f t="shared" si="0"/>
        <v>5.2631578947368425</v>
      </c>
      <c r="AA40" s="2">
        <f t="shared" si="1"/>
        <v>11.695906432748538</v>
      </c>
    </row>
    <row r="41" spans="25:27" x14ac:dyDescent="0.2">
      <c r="Y41">
        <v>39</v>
      </c>
      <c r="Z41" s="2">
        <f t="shared" si="0"/>
        <v>5.1282051282051286</v>
      </c>
      <c r="AA41" s="2">
        <f t="shared" si="1"/>
        <v>11.396011396011396</v>
      </c>
    </row>
    <row r="42" spans="25:27" x14ac:dyDescent="0.2">
      <c r="Y42">
        <v>40</v>
      </c>
      <c r="Z42" s="2">
        <f t="shared" si="0"/>
        <v>5</v>
      </c>
      <c r="AA42" s="2">
        <f t="shared" si="1"/>
        <v>11.111111111111111</v>
      </c>
    </row>
    <row r="43" spans="25:27" x14ac:dyDescent="0.2">
      <c r="Y43">
        <v>41</v>
      </c>
      <c r="Z43" s="2">
        <f t="shared" si="0"/>
        <v>4.8780487804878048</v>
      </c>
      <c r="AA43" s="2">
        <f t="shared" si="1"/>
        <v>10.840108401084011</v>
      </c>
    </row>
    <row r="44" spans="25:27" x14ac:dyDescent="0.2">
      <c r="Y44">
        <v>42</v>
      </c>
      <c r="Z44" s="2">
        <f t="shared" si="0"/>
        <v>4.7619047619047619</v>
      </c>
      <c r="AA44" s="2">
        <f t="shared" si="1"/>
        <v>10.582010582010582</v>
      </c>
    </row>
    <row r="45" spans="25:27" x14ac:dyDescent="0.2">
      <c r="Y45">
        <v>43</v>
      </c>
      <c r="Z45" s="2">
        <f t="shared" si="0"/>
        <v>4.6511627906976747</v>
      </c>
      <c r="AA45" s="2">
        <f t="shared" si="1"/>
        <v>10.335917312661499</v>
      </c>
    </row>
    <row r="46" spans="25:27" x14ac:dyDescent="0.2">
      <c r="Y46">
        <v>44</v>
      </c>
      <c r="Z46" s="2">
        <f t="shared" si="0"/>
        <v>4.5454545454545459</v>
      </c>
      <c r="AA46" s="2">
        <f t="shared" si="1"/>
        <v>10.101010101010102</v>
      </c>
    </row>
    <row r="47" spans="25:27" x14ac:dyDescent="0.2">
      <c r="Y47">
        <v>45</v>
      </c>
      <c r="Z47" s="2">
        <f t="shared" si="0"/>
        <v>4.4444444444444446</v>
      </c>
      <c r="AA47" s="2">
        <f t="shared" si="1"/>
        <v>9.8765432098765427</v>
      </c>
    </row>
    <row r="48" spans="25:27" x14ac:dyDescent="0.2">
      <c r="Y48">
        <v>46</v>
      </c>
      <c r="Z48" s="2">
        <f t="shared" si="0"/>
        <v>4.3478260869565215</v>
      </c>
      <c r="AA48" s="2">
        <f t="shared" si="1"/>
        <v>9.6618357487922708</v>
      </c>
    </row>
    <row r="49" spans="25:27" x14ac:dyDescent="0.2">
      <c r="Y49">
        <v>47</v>
      </c>
      <c r="Z49" s="2">
        <f t="shared" si="0"/>
        <v>4.2553191489361701</v>
      </c>
      <c r="AA49" s="2">
        <f t="shared" si="1"/>
        <v>9.456264775413711</v>
      </c>
    </row>
    <row r="50" spans="25:27" x14ac:dyDescent="0.2">
      <c r="Y50">
        <v>48</v>
      </c>
      <c r="Z50" s="2">
        <f t="shared" si="0"/>
        <v>4.166666666666667</v>
      </c>
      <c r="AA50" s="2">
        <f t="shared" si="1"/>
        <v>9.2592592592592595</v>
      </c>
    </row>
    <row r="51" spans="25:27" x14ac:dyDescent="0.2">
      <c r="Y51">
        <v>49</v>
      </c>
      <c r="Z51" s="2">
        <f t="shared" si="0"/>
        <v>4.0816326530612246</v>
      </c>
      <c r="AA51" s="2">
        <f t="shared" si="1"/>
        <v>9.0702947845804989</v>
      </c>
    </row>
    <row r="52" spans="25:27" x14ac:dyDescent="0.2">
      <c r="Y52">
        <v>50</v>
      </c>
      <c r="Z52" s="2">
        <f t="shared" si="0"/>
        <v>4</v>
      </c>
      <c r="AA52" s="2">
        <f t="shared" si="1"/>
        <v>8.8888888888888893</v>
      </c>
    </row>
    <row r="53" spans="25:27" x14ac:dyDescent="0.2">
      <c r="Y53">
        <v>51</v>
      </c>
      <c r="Z53" s="2">
        <f t="shared" si="0"/>
        <v>3.9215686274509802</v>
      </c>
      <c r="AA53" s="2">
        <f t="shared" si="1"/>
        <v>8.7145969498910674</v>
      </c>
    </row>
    <row r="54" spans="25:27" x14ac:dyDescent="0.2">
      <c r="Y54">
        <v>52</v>
      </c>
      <c r="Z54" s="2">
        <f t="shared" si="0"/>
        <v>3.8461538461538463</v>
      </c>
      <c r="AA54" s="2">
        <f t="shared" si="1"/>
        <v>8.5470085470085468</v>
      </c>
    </row>
    <row r="55" spans="25:27" x14ac:dyDescent="0.2">
      <c r="Y55">
        <v>53</v>
      </c>
      <c r="Z55" s="2">
        <f t="shared" si="0"/>
        <v>3.7735849056603774</v>
      </c>
      <c r="AA55" s="2">
        <f t="shared" si="1"/>
        <v>8.3857442348008391</v>
      </c>
    </row>
    <row r="56" spans="25:27" x14ac:dyDescent="0.2">
      <c r="Y56">
        <v>54</v>
      </c>
      <c r="Z56" s="2">
        <f t="shared" si="0"/>
        <v>3.7037037037037037</v>
      </c>
      <c r="AA56" s="2">
        <f t="shared" si="1"/>
        <v>8.2304526748971192</v>
      </c>
    </row>
    <row r="57" spans="25:27" x14ac:dyDescent="0.2">
      <c r="Y57">
        <v>55</v>
      </c>
      <c r="Z57" s="2">
        <f t="shared" si="0"/>
        <v>3.6363636363636362</v>
      </c>
      <c r="AA57" s="2">
        <f t="shared" si="1"/>
        <v>8.0808080808080813</v>
      </c>
    </row>
    <row r="58" spans="25:27" x14ac:dyDescent="0.2">
      <c r="Y58">
        <v>56</v>
      </c>
      <c r="Z58" s="2">
        <f t="shared" si="0"/>
        <v>3.5714285714285716</v>
      </c>
      <c r="AA58" s="2">
        <f t="shared" si="1"/>
        <v>7.9365079365079367</v>
      </c>
    </row>
    <row r="59" spans="25:27" x14ac:dyDescent="0.2">
      <c r="Y59">
        <v>57</v>
      </c>
      <c r="Z59" s="2">
        <f t="shared" si="0"/>
        <v>3.5087719298245612</v>
      </c>
      <c r="AA59" s="2">
        <f t="shared" si="1"/>
        <v>7.7972709551656925</v>
      </c>
    </row>
    <row r="60" spans="25:27" x14ac:dyDescent="0.2">
      <c r="Y60">
        <v>58</v>
      </c>
      <c r="Z60" s="2">
        <f t="shared" si="0"/>
        <v>3.4482758620689653</v>
      </c>
      <c r="AA60" s="2">
        <f t="shared" si="1"/>
        <v>7.6628352490421454</v>
      </c>
    </row>
    <row r="61" spans="25:27" x14ac:dyDescent="0.2">
      <c r="Y61">
        <v>59</v>
      </c>
      <c r="Z61" s="2">
        <f t="shared" si="0"/>
        <v>3.3898305084745761</v>
      </c>
      <c r="AA61" s="2">
        <f t="shared" si="1"/>
        <v>7.5329566854990588</v>
      </c>
    </row>
    <row r="62" spans="25:27" x14ac:dyDescent="0.2">
      <c r="Y62">
        <v>60</v>
      </c>
      <c r="Z62" s="2">
        <f t="shared" si="0"/>
        <v>3.3333333333333335</v>
      </c>
      <c r="AA62" s="2">
        <f t="shared" si="1"/>
        <v>7.4074074074074074</v>
      </c>
    </row>
    <row r="63" spans="25:27" x14ac:dyDescent="0.2">
      <c r="Y63">
        <v>61</v>
      </c>
      <c r="Z63" s="2">
        <f t="shared" si="0"/>
        <v>3.278688524590164</v>
      </c>
      <c r="AA63" s="2">
        <f t="shared" si="1"/>
        <v>7.285974499089253</v>
      </c>
    </row>
    <row r="64" spans="25:27" x14ac:dyDescent="0.2">
      <c r="Y64">
        <v>62</v>
      </c>
      <c r="Z64" s="2">
        <f t="shared" si="0"/>
        <v>3.225806451612903</v>
      </c>
      <c r="AA64" s="2">
        <f t="shared" si="1"/>
        <v>7.1684587813620073</v>
      </c>
    </row>
    <row r="65" spans="25:27" x14ac:dyDescent="0.2">
      <c r="Y65">
        <v>63</v>
      </c>
      <c r="Z65" s="2">
        <f t="shared" si="0"/>
        <v>3.1746031746031744</v>
      </c>
      <c r="AA65" s="2">
        <f t="shared" si="1"/>
        <v>7.0546737213403885</v>
      </c>
    </row>
    <row r="66" spans="25:27" x14ac:dyDescent="0.2">
      <c r="Y66">
        <v>64</v>
      </c>
      <c r="Z66" s="2">
        <f t="shared" si="0"/>
        <v>3.125</v>
      </c>
      <c r="AA66" s="2">
        <f t="shared" si="1"/>
        <v>6.9444444444444446</v>
      </c>
    </row>
    <row r="67" spans="25:27" x14ac:dyDescent="0.2">
      <c r="Y67">
        <v>65</v>
      </c>
      <c r="Z67" s="2">
        <f t="shared" si="0"/>
        <v>3.0769230769230771</v>
      </c>
      <c r="AA67" s="2">
        <f t="shared" si="1"/>
        <v>6.8376068376068382</v>
      </c>
    </row>
    <row r="68" spans="25:27" x14ac:dyDescent="0.2">
      <c r="Y68">
        <v>66</v>
      </c>
      <c r="Z68" s="2">
        <f t="shared" ref="Z68:Z82" si="2">$W$9/Y68</f>
        <v>3.0303030303030303</v>
      </c>
      <c r="AA68" s="2">
        <f t="shared" ref="AA68:AA82" si="3">$W$19/Y68</f>
        <v>6.7340067340067344</v>
      </c>
    </row>
    <row r="69" spans="25:27" x14ac:dyDescent="0.2">
      <c r="Y69">
        <v>67</v>
      </c>
      <c r="Z69" s="2">
        <f t="shared" si="2"/>
        <v>2.9850746268656718</v>
      </c>
      <c r="AA69" s="2">
        <f t="shared" si="3"/>
        <v>6.6334991708126037</v>
      </c>
    </row>
    <row r="70" spans="25:27" x14ac:dyDescent="0.2">
      <c r="Y70">
        <v>68</v>
      </c>
      <c r="Z70" s="2">
        <f t="shared" si="2"/>
        <v>2.9411764705882355</v>
      </c>
      <c r="AA70" s="2">
        <f t="shared" si="3"/>
        <v>6.5359477124183005</v>
      </c>
    </row>
    <row r="71" spans="25:27" x14ac:dyDescent="0.2">
      <c r="Y71">
        <v>69</v>
      </c>
      <c r="Z71" s="2">
        <f t="shared" si="2"/>
        <v>2.8985507246376812</v>
      </c>
      <c r="AA71" s="2">
        <f t="shared" si="3"/>
        <v>6.4412238325281805</v>
      </c>
    </row>
    <row r="72" spans="25:27" x14ac:dyDescent="0.2">
      <c r="Y72">
        <v>70</v>
      </c>
      <c r="Z72" s="2">
        <f t="shared" si="2"/>
        <v>2.8571428571428572</v>
      </c>
      <c r="AA72" s="2">
        <f t="shared" si="3"/>
        <v>6.3492063492063497</v>
      </c>
    </row>
    <row r="73" spans="25:27" x14ac:dyDescent="0.2">
      <c r="Y73">
        <v>71</v>
      </c>
      <c r="Z73" s="2">
        <f t="shared" si="2"/>
        <v>2.816901408450704</v>
      </c>
      <c r="AA73" s="2">
        <f t="shared" si="3"/>
        <v>6.2597809076682314</v>
      </c>
    </row>
    <row r="74" spans="25:27" x14ac:dyDescent="0.2">
      <c r="Y74">
        <v>72</v>
      </c>
      <c r="Z74" s="2">
        <f t="shared" si="2"/>
        <v>2.7777777777777777</v>
      </c>
      <c r="AA74" s="2">
        <f t="shared" si="3"/>
        <v>6.1728395061728394</v>
      </c>
    </row>
    <row r="75" spans="25:27" x14ac:dyDescent="0.2">
      <c r="Y75">
        <v>73</v>
      </c>
      <c r="Z75" s="2">
        <f t="shared" si="2"/>
        <v>2.7397260273972601</v>
      </c>
      <c r="AA75" s="2">
        <f t="shared" si="3"/>
        <v>6.0882800608828012</v>
      </c>
    </row>
    <row r="76" spans="25:27" x14ac:dyDescent="0.2">
      <c r="Y76">
        <v>74</v>
      </c>
      <c r="Z76" s="2">
        <f t="shared" si="2"/>
        <v>2.7027027027027026</v>
      </c>
      <c r="AA76" s="2">
        <f t="shared" si="3"/>
        <v>6.0060060060060065</v>
      </c>
    </row>
    <row r="77" spans="25:27" x14ac:dyDescent="0.2">
      <c r="Y77">
        <v>75</v>
      </c>
      <c r="Z77" s="2">
        <f t="shared" si="2"/>
        <v>2.6666666666666665</v>
      </c>
      <c r="AA77" s="2">
        <f t="shared" si="3"/>
        <v>5.9259259259259265</v>
      </c>
    </row>
    <row r="78" spans="25:27" x14ac:dyDescent="0.2">
      <c r="Y78">
        <v>76</v>
      </c>
      <c r="Z78" s="2">
        <f t="shared" si="2"/>
        <v>2.6315789473684212</v>
      </c>
      <c r="AA78" s="2">
        <f t="shared" si="3"/>
        <v>5.8479532163742691</v>
      </c>
    </row>
    <row r="79" spans="25:27" x14ac:dyDescent="0.2">
      <c r="Y79">
        <v>77</v>
      </c>
      <c r="Z79" s="2">
        <f t="shared" si="2"/>
        <v>2.5974025974025974</v>
      </c>
      <c r="AA79" s="2">
        <f t="shared" si="3"/>
        <v>5.7720057720057723</v>
      </c>
    </row>
    <row r="80" spans="25:27" x14ac:dyDescent="0.2">
      <c r="Y80">
        <v>78</v>
      </c>
      <c r="Z80" s="2">
        <f t="shared" si="2"/>
        <v>2.5641025641025643</v>
      </c>
      <c r="AA80" s="2">
        <f t="shared" si="3"/>
        <v>5.6980056980056979</v>
      </c>
    </row>
    <row r="81" spans="25:27" x14ac:dyDescent="0.2">
      <c r="Y81">
        <v>79</v>
      </c>
      <c r="Z81" s="2">
        <f t="shared" si="2"/>
        <v>2.5316455696202533</v>
      </c>
      <c r="AA81" s="2">
        <f t="shared" si="3"/>
        <v>5.6258790436005626</v>
      </c>
    </row>
    <row r="82" spans="25:27" x14ac:dyDescent="0.2">
      <c r="Y82">
        <v>80</v>
      </c>
      <c r="Z82" s="2">
        <f t="shared" si="2"/>
        <v>2.5</v>
      </c>
      <c r="AA82" s="2">
        <f t="shared" si="3"/>
        <v>5.5555555555555554</v>
      </c>
    </row>
    <row r="65536" spans="1:1" x14ac:dyDescent="0.2">
      <c r="A65536" s="53" t="s">
        <v>82</v>
      </c>
    </row>
  </sheetData>
  <mergeCells count="3">
    <mergeCell ref="A5:F5"/>
    <mergeCell ref="A9:C9"/>
    <mergeCell ref="A15:F15"/>
  </mergeCells>
  <phoneticPr fontId="6" type="noConversion"/>
  <hyperlinks>
    <hyperlink ref="P2" location="Questions!A1" display="Question"/>
    <hyperlink ref="P1" location="'Trade Equilibrium'!A1" display="Trade Equilibrium"/>
    <hyperlink ref="P3" location="Explanation!A1" display="Explanation"/>
  </hyperlinks>
  <pageMargins left="0.7" right="0.7" top="0.75" bottom="0.75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Spinner 1">
              <controlPr defaultSize="0" autoPict="0">
                <anchor moveWithCells="1" sizeWithCells="1">
                  <from>
                    <xdr:col>2</xdr:col>
                    <xdr:colOff>0</xdr:colOff>
                    <xdr:row>9</xdr:row>
                    <xdr:rowOff>0</xdr:rowOff>
                  </from>
                  <to>
                    <xdr:col>2</xdr:col>
                    <xdr:colOff>558800</xdr:colOff>
                    <xdr:row>11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1" r:id="rId4" name="Spinner 3">
              <controlPr defaultSize="0" autoPict="0">
                <anchor moveWithCells="1" sizeWithCells="1">
                  <from>
                    <xdr:col>2</xdr:col>
                    <xdr:colOff>12700</xdr:colOff>
                    <xdr:row>12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2" r:id="rId5" name="Spinner 4">
              <controlPr defaultSize="0" autoPict="0">
                <anchor moveWithCells="1" sizeWithCells="1">
                  <from>
                    <xdr:col>2</xdr:col>
                    <xdr:colOff>0</xdr:colOff>
                    <xdr:row>5</xdr:row>
                    <xdr:rowOff>0</xdr:rowOff>
                  </from>
                  <to>
                    <xdr:col>2</xdr:col>
                    <xdr:colOff>558800</xdr:colOff>
                    <xdr:row>7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73" r:id="rId6" name="Spinner 5">
              <controlPr defaultSize="0" autoPict="0">
                <anchor moveWithCells="1" siz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6</xdr:col>
                    <xdr:colOff>12700</xdr:colOff>
                    <xdr:row>7</xdr:row>
                    <xdr:rowOff>25400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7181" r:id="rId7" name="Option Button 13">
              <controlPr defaultSize="0" autoFill="0" autoLine="0" autoPict="0">
                <anchor moveWithCells="1">
                  <from>
                    <xdr:col>0</xdr:col>
                    <xdr:colOff>63500</xdr:colOff>
                    <xdr:row>18</xdr:row>
                    <xdr:rowOff>12700</xdr:rowOff>
                  </from>
                  <to>
                    <xdr:col>3</xdr:col>
                    <xdr:colOff>38100</xdr:colOff>
                    <xdr:row>19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65536"/>
  <sheetViews>
    <sheetView showGridLines="0" showRowColHeaders="0" zoomScale="70" workbookViewId="0">
      <selection activeCell="B1" sqref="B1"/>
    </sheetView>
  </sheetViews>
  <sheetFormatPr baseColWidth="10" defaultColWidth="9" defaultRowHeight="20" customHeight="1" x14ac:dyDescent="0.2"/>
  <cols>
    <col min="1" max="1" width="1.3984375" customWidth="1"/>
    <col min="2" max="2" width="11.3984375" customWidth="1"/>
    <col min="3" max="3" width="6.796875" customWidth="1"/>
    <col min="4" max="4" width="11.19921875" customWidth="1"/>
    <col min="5" max="5" width="7" customWidth="1"/>
    <col min="6" max="6" width="9" customWidth="1"/>
    <col min="7" max="7" width="10" bestFit="1" customWidth="1"/>
  </cols>
  <sheetData>
    <row r="1" spans="1:46" ht="20" customHeight="1" x14ac:dyDescent="0.25">
      <c r="B1" s="33" t="s">
        <v>61</v>
      </c>
      <c r="V1" s="12" t="s">
        <v>4</v>
      </c>
      <c r="W1" s="14"/>
      <c r="AA1" s="12" t="s">
        <v>30</v>
      </c>
      <c r="AB1" s="14"/>
      <c r="AF1" s="1" t="s">
        <v>6</v>
      </c>
      <c r="AG1" s="1" t="s">
        <v>5</v>
      </c>
      <c r="AH1" s="1" t="s">
        <v>26</v>
      </c>
      <c r="AI1" s="1" t="s">
        <v>57</v>
      </c>
      <c r="AJ1" s="1" t="s">
        <v>58</v>
      </c>
      <c r="AK1" s="1"/>
      <c r="AN1" s="12" t="s">
        <v>73</v>
      </c>
      <c r="AO1" s="14"/>
      <c r="AQ1" t="s">
        <v>75</v>
      </c>
      <c r="AS1" t="s">
        <v>74</v>
      </c>
    </row>
    <row r="2" spans="1:46" ht="20" customHeight="1" x14ac:dyDescent="0.25">
      <c r="B2" s="34" t="s">
        <v>29</v>
      </c>
      <c r="V2" s="15" t="s">
        <v>2</v>
      </c>
      <c r="W2" s="16" t="s">
        <v>3</v>
      </c>
      <c r="AA2" s="15" t="s">
        <v>31</v>
      </c>
      <c r="AB2" s="16" t="s">
        <v>32</v>
      </c>
      <c r="AF2" s="1" t="s">
        <v>2</v>
      </c>
      <c r="AG2" s="1" t="s">
        <v>15</v>
      </c>
      <c r="AH2" s="1" t="s">
        <v>16</v>
      </c>
      <c r="AI2" s="1" t="s">
        <v>59</v>
      </c>
      <c r="AJ2" s="1" t="s">
        <v>60</v>
      </c>
      <c r="AK2" s="1" t="s">
        <v>77</v>
      </c>
      <c r="AN2" s="21" t="s">
        <v>31</v>
      </c>
      <c r="AO2" s="22" t="s">
        <v>32</v>
      </c>
      <c r="AQ2" s="21" t="s">
        <v>31</v>
      </c>
      <c r="AR2" s="22" t="s">
        <v>32</v>
      </c>
      <c r="AS2" s="21" t="s">
        <v>31</v>
      </c>
      <c r="AT2" s="22" t="s">
        <v>32</v>
      </c>
    </row>
    <row r="3" spans="1:46" ht="20" customHeight="1" x14ac:dyDescent="0.2">
      <c r="A3" s="43" t="s">
        <v>113</v>
      </c>
      <c r="V3" s="17">
        <v>0</v>
      </c>
      <c r="W3" s="7">
        <f>LH/bH</f>
        <v>40</v>
      </c>
      <c r="AA3" s="17">
        <v>0</v>
      </c>
      <c r="AB3" s="7">
        <f>LF/bF</f>
        <v>20</v>
      </c>
      <c r="AF3">
        <v>1</v>
      </c>
      <c r="AG3" s="2">
        <f t="shared" ref="AG3:AG34" si="0">UHA/AF$3:AF$65536</f>
        <v>200</v>
      </c>
      <c r="AH3" s="2">
        <f>UHT/AF3</f>
        <v>500</v>
      </c>
      <c r="AI3" s="2">
        <f>UFA/AF3</f>
        <v>200</v>
      </c>
      <c r="AJ3" s="2">
        <f>UFT/AF3</f>
        <v>320</v>
      </c>
      <c r="AK3" s="36">
        <f>LF/aF</f>
        <v>40</v>
      </c>
      <c r="AN3" s="17">
        <v>0</v>
      </c>
      <c r="AO3" s="7">
        <v>0</v>
      </c>
      <c r="AQ3" s="17">
        <v>0</v>
      </c>
      <c r="AR3" s="7">
        <f>LH/bH</f>
        <v>40</v>
      </c>
      <c r="AS3" s="17">
        <f>LF/aF</f>
        <v>40</v>
      </c>
      <c r="AT3" s="7">
        <v>0</v>
      </c>
    </row>
    <row r="4" spans="1:46" ht="20" customHeight="1" x14ac:dyDescent="0.25">
      <c r="A4" s="107" t="s">
        <v>80</v>
      </c>
      <c r="B4" s="109"/>
      <c r="C4" s="110"/>
      <c r="D4" s="107" t="s">
        <v>81</v>
      </c>
      <c r="E4" s="108"/>
      <c r="V4" s="18">
        <f>LH/aH</f>
        <v>20</v>
      </c>
      <c r="W4" s="11">
        <v>0</v>
      </c>
      <c r="AA4" s="18">
        <f>LF/aF</f>
        <v>40</v>
      </c>
      <c r="AB4" s="11">
        <v>0</v>
      </c>
      <c r="AF4">
        <v>2</v>
      </c>
      <c r="AG4" s="2">
        <f t="shared" si="0"/>
        <v>100</v>
      </c>
      <c r="AH4" s="2">
        <f t="shared" ref="AH4:AH27" si="1">UHT/AF4</f>
        <v>250</v>
      </c>
      <c r="AI4" s="2">
        <f t="shared" ref="AI4:AI27" si="2">UFA/AF4</f>
        <v>100</v>
      </c>
      <c r="AJ4" s="2">
        <f t="shared" ref="AJ4:AJ27" si="3">UFT/AF4</f>
        <v>160</v>
      </c>
      <c r="AK4" s="36">
        <f>AK3-1</f>
        <v>39</v>
      </c>
      <c r="AN4" s="18">
        <f>LF/aF</f>
        <v>40</v>
      </c>
      <c r="AO4" s="11">
        <f>LF/bF</f>
        <v>20</v>
      </c>
      <c r="AQ4" s="18">
        <f>LF/aF</f>
        <v>40</v>
      </c>
      <c r="AR4" s="7">
        <f>LH/bH</f>
        <v>40</v>
      </c>
      <c r="AS4" s="18">
        <f>LF/aF</f>
        <v>40</v>
      </c>
      <c r="AT4" s="11">
        <f>LF/bF+5</f>
        <v>25</v>
      </c>
    </row>
    <row r="5" spans="1:46" ht="20" customHeight="1" x14ac:dyDescent="0.25">
      <c r="A5" s="61" t="s">
        <v>17</v>
      </c>
      <c r="B5" s="63"/>
      <c r="C5" s="63"/>
      <c r="D5" s="62"/>
      <c r="E5" s="66"/>
      <c r="V5" s="12" t="s">
        <v>33</v>
      </c>
      <c r="W5" s="13"/>
      <c r="X5" s="13"/>
      <c r="Y5" s="14"/>
      <c r="AA5" s="12" t="s">
        <v>34</v>
      </c>
      <c r="AB5" s="13"/>
      <c r="AC5" s="13"/>
      <c r="AD5" s="14"/>
      <c r="AF5">
        <v>3</v>
      </c>
      <c r="AG5" s="2">
        <f t="shared" si="0"/>
        <v>66.666666666666671</v>
      </c>
      <c r="AH5" s="2">
        <f t="shared" si="1"/>
        <v>166.66666666666666</v>
      </c>
      <c r="AI5" s="2">
        <f t="shared" si="2"/>
        <v>66.666666666666671</v>
      </c>
      <c r="AJ5" s="2">
        <f t="shared" si="3"/>
        <v>106.66666666666667</v>
      </c>
      <c r="AK5" s="36">
        <f t="shared" ref="AK5:AK68" si="4">AK4-1</f>
        <v>38</v>
      </c>
      <c r="AN5" s="25" t="s">
        <v>76</v>
      </c>
      <c r="AO5" s="3"/>
    </row>
    <row r="6" spans="1:46" ht="20" customHeight="1" x14ac:dyDescent="0.35">
      <c r="A6" s="77"/>
      <c r="B6" s="78" t="s">
        <v>137</v>
      </c>
      <c r="C6" s="55">
        <v>8</v>
      </c>
      <c r="D6" s="79" t="s">
        <v>68</v>
      </c>
      <c r="E6" s="55">
        <v>4</v>
      </c>
      <c r="V6" s="19" t="s">
        <v>9</v>
      </c>
      <c r="W6" s="3">
        <v>1</v>
      </c>
      <c r="X6" s="20" t="s">
        <v>7</v>
      </c>
      <c r="Y6" s="3">
        <f>IHA/(2*W6)</f>
        <v>10</v>
      </c>
      <c r="AA6" s="19" t="s">
        <v>35</v>
      </c>
      <c r="AB6" s="3">
        <v>1</v>
      </c>
      <c r="AC6" s="20" t="s">
        <v>42</v>
      </c>
      <c r="AD6" s="3">
        <f>IFA/(2*P1FA)</f>
        <v>20</v>
      </c>
      <c r="AF6">
        <v>4</v>
      </c>
      <c r="AG6" s="2">
        <f t="shared" si="0"/>
        <v>50</v>
      </c>
      <c r="AH6" s="2">
        <f t="shared" si="1"/>
        <v>125</v>
      </c>
      <c r="AI6" s="2">
        <f t="shared" si="2"/>
        <v>50</v>
      </c>
      <c r="AJ6" s="2">
        <f t="shared" si="3"/>
        <v>80</v>
      </c>
      <c r="AK6" s="36">
        <f t="shared" si="4"/>
        <v>37</v>
      </c>
      <c r="AN6" s="35">
        <f>IF(PW=PFA,X1FT,IF(PW&lt;PFA,X1FT+5,X1FT))</f>
        <v>20</v>
      </c>
      <c r="AO6" s="3">
        <v>27</v>
      </c>
    </row>
    <row r="7" spans="1:46" ht="20" customHeight="1" x14ac:dyDescent="0.35">
      <c r="A7" s="58"/>
      <c r="B7" s="80" t="s">
        <v>138</v>
      </c>
      <c r="C7" s="55">
        <v>4</v>
      </c>
      <c r="D7" s="81" t="s">
        <v>69</v>
      </c>
      <c r="E7" s="55">
        <v>8</v>
      </c>
      <c r="F7" s="5"/>
      <c r="V7" s="4" t="s">
        <v>10</v>
      </c>
      <c r="W7" s="7">
        <f>bH/aH</f>
        <v>0.5</v>
      </c>
      <c r="X7" s="6" t="s">
        <v>8</v>
      </c>
      <c r="Y7" s="26">
        <f>IHA/(2*W7)</f>
        <v>20</v>
      </c>
      <c r="AA7" s="4" t="s">
        <v>36</v>
      </c>
      <c r="AB7" s="7">
        <f>bF/aF</f>
        <v>2</v>
      </c>
      <c r="AC7" s="6" t="s">
        <v>43</v>
      </c>
      <c r="AD7" s="26">
        <f>IFA/(2*P2FA)</f>
        <v>10</v>
      </c>
      <c r="AF7">
        <v>5</v>
      </c>
      <c r="AG7" s="2">
        <f t="shared" si="0"/>
        <v>40</v>
      </c>
      <c r="AH7" s="2">
        <f t="shared" si="1"/>
        <v>100</v>
      </c>
      <c r="AI7" s="2">
        <f t="shared" si="2"/>
        <v>40</v>
      </c>
      <c r="AJ7" s="2">
        <f t="shared" si="3"/>
        <v>64</v>
      </c>
      <c r="AK7" s="36">
        <f t="shared" si="4"/>
        <v>36</v>
      </c>
      <c r="AN7" s="17">
        <f>X1FA</f>
        <v>20</v>
      </c>
      <c r="AO7" s="7">
        <f>X2FT</f>
        <v>16</v>
      </c>
    </row>
    <row r="8" spans="1:46" ht="20" customHeight="1" x14ac:dyDescent="0.25">
      <c r="A8" s="61" t="s">
        <v>18</v>
      </c>
      <c r="B8" s="63"/>
      <c r="C8" s="63"/>
      <c r="D8" s="62"/>
      <c r="E8" s="66"/>
      <c r="V8" s="4" t="s">
        <v>11</v>
      </c>
      <c r="W8" s="7">
        <f>wHA*LH</f>
        <v>20</v>
      </c>
      <c r="X8" s="6" t="s">
        <v>12</v>
      </c>
      <c r="Y8" s="7">
        <f>W6/aH</f>
        <v>0.125</v>
      </c>
      <c r="AA8" s="4" t="s">
        <v>37</v>
      </c>
      <c r="AB8" s="7">
        <f>wFA*LF</f>
        <v>40</v>
      </c>
      <c r="AC8" s="6" t="s">
        <v>44</v>
      </c>
      <c r="AD8" s="29">
        <f>P2FA/bF</f>
        <v>0.25</v>
      </c>
      <c r="AF8">
        <v>6</v>
      </c>
      <c r="AG8" s="2">
        <f t="shared" si="0"/>
        <v>33.333333333333336</v>
      </c>
      <c r="AH8" s="2">
        <f t="shared" si="1"/>
        <v>83.333333333333329</v>
      </c>
      <c r="AI8" s="2">
        <f t="shared" si="2"/>
        <v>33.333333333333336</v>
      </c>
      <c r="AJ8" s="2">
        <f t="shared" si="3"/>
        <v>53.333333333333336</v>
      </c>
      <c r="AK8" s="36">
        <f t="shared" si="4"/>
        <v>35</v>
      </c>
      <c r="AN8" s="31">
        <f>X1FT</f>
        <v>20</v>
      </c>
      <c r="AO8" s="7">
        <f>X2FA</f>
        <v>10</v>
      </c>
    </row>
    <row r="9" spans="1:46" ht="20" customHeight="1" x14ac:dyDescent="0.35">
      <c r="A9" s="82"/>
      <c r="B9" s="83" t="s">
        <v>140</v>
      </c>
      <c r="C9" s="55">
        <v>160</v>
      </c>
      <c r="D9" s="64" t="s">
        <v>70</v>
      </c>
      <c r="E9" s="65">
        <v>160</v>
      </c>
      <c r="V9" s="8" t="s">
        <v>39</v>
      </c>
      <c r="W9" s="11">
        <f>W6/W7</f>
        <v>2</v>
      </c>
      <c r="X9" s="10" t="s">
        <v>40</v>
      </c>
      <c r="Y9" s="11">
        <f>Y6*Y7</f>
        <v>200</v>
      </c>
      <c r="AA9" s="8" t="s">
        <v>38</v>
      </c>
      <c r="AB9" s="11">
        <f>AB6/AB7</f>
        <v>0.5</v>
      </c>
      <c r="AC9" s="10" t="s">
        <v>41</v>
      </c>
      <c r="AD9" s="11">
        <f>X1FA*X2FA</f>
        <v>200</v>
      </c>
      <c r="AF9">
        <v>7</v>
      </c>
      <c r="AG9" s="2">
        <f t="shared" si="0"/>
        <v>28.571428571428573</v>
      </c>
      <c r="AH9" s="2">
        <f t="shared" si="1"/>
        <v>71.428571428571431</v>
      </c>
      <c r="AI9" s="2">
        <f t="shared" si="2"/>
        <v>28.571428571428573</v>
      </c>
      <c r="AJ9" s="2">
        <f t="shared" si="3"/>
        <v>45.714285714285715</v>
      </c>
      <c r="AK9" s="36">
        <f t="shared" si="4"/>
        <v>34</v>
      </c>
      <c r="AN9" s="18">
        <f>IF(PW&lt;PFA,AA4,0)</f>
        <v>0</v>
      </c>
      <c r="AO9" s="11">
        <f>IF(PW&lt;PFA,#REF!,0)</f>
        <v>0</v>
      </c>
    </row>
    <row r="10" spans="1:46" ht="20" customHeight="1" x14ac:dyDescent="0.25">
      <c r="A10" s="49"/>
      <c r="B10" s="49"/>
      <c r="C10" s="49"/>
      <c r="D10" s="49"/>
      <c r="E10" s="49"/>
      <c r="V10" s="12" t="s">
        <v>19</v>
      </c>
      <c r="W10" s="14"/>
      <c r="AA10" s="12" t="s">
        <v>45</v>
      </c>
      <c r="AB10" s="14"/>
      <c r="AF10">
        <v>8</v>
      </c>
      <c r="AG10" s="2">
        <f t="shared" si="0"/>
        <v>25</v>
      </c>
      <c r="AH10" s="2">
        <f t="shared" si="1"/>
        <v>62.5</v>
      </c>
      <c r="AI10" s="2">
        <f t="shared" si="2"/>
        <v>25</v>
      </c>
      <c r="AJ10" s="2">
        <f t="shared" si="3"/>
        <v>40</v>
      </c>
      <c r="AK10" s="36">
        <f t="shared" si="4"/>
        <v>33</v>
      </c>
    </row>
    <row r="11" spans="1:46" ht="20" customHeight="1" x14ac:dyDescent="0.25">
      <c r="A11" s="49"/>
      <c r="B11" s="49"/>
      <c r="C11" s="49"/>
      <c r="D11" s="49"/>
      <c r="E11" s="49"/>
      <c r="V11" s="21" t="s">
        <v>13</v>
      </c>
      <c r="W11" s="22" t="s">
        <v>14</v>
      </c>
      <c r="AA11" s="21" t="s">
        <v>13</v>
      </c>
      <c r="AB11" s="22" t="s">
        <v>14</v>
      </c>
      <c r="AF11">
        <v>9</v>
      </c>
      <c r="AG11" s="2">
        <f t="shared" si="0"/>
        <v>22.222222222222221</v>
      </c>
      <c r="AH11" s="2">
        <f t="shared" si="1"/>
        <v>55.555555555555557</v>
      </c>
      <c r="AI11" s="2">
        <f t="shared" si="2"/>
        <v>22.222222222222221</v>
      </c>
      <c r="AJ11" s="2">
        <f t="shared" si="3"/>
        <v>35.555555555555557</v>
      </c>
      <c r="AK11" s="36">
        <f t="shared" si="4"/>
        <v>32</v>
      </c>
    </row>
    <row r="12" spans="1:46" ht="20" customHeight="1" x14ac:dyDescent="0.35">
      <c r="A12" s="61" t="s">
        <v>28</v>
      </c>
      <c r="B12" s="63"/>
      <c r="C12" s="84" t="s">
        <v>143</v>
      </c>
      <c r="D12" s="85">
        <f>E12/10</f>
        <v>0.8</v>
      </c>
      <c r="E12" s="57">
        <v>8</v>
      </c>
      <c r="V12" s="17">
        <v>0</v>
      </c>
      <c r="W12" s="7">
        <f>IF(PW&lt;PHA,W3,PW*V4)</f>
        <v>40</v>
      </c>
      <c r="AA12" s="17">
        <v>0</v>
      </c>
      <c r="AB12" s="7">
        <f>IF(PW&lt;PFA,AB3,PW*AA4)</f>
        <v>32</v>
      </c>
      <c r="AF12">
        <v>10</v>
      </c>
      <c r="AG12" s="2">
        <f t="shared" si="0"/>
        <v>20</v>
      </c>
      <c r="AH12" s="2">
        <f t="shared" si="1"/>
        <v>50</v>
      </c>
      <c r="AI12" s="2">
        <f t="shared" si="2"/>
        <v>20</v>
      </c>
      <c r="AJ12" s="2">
        <f t="shared" si="3"/>
        <v>32</v>
      </c>
      <c r="AK12" s="36">
        <f t="shared" si="4"/>
        <v>31</v>
      </c>
    </row>
    <row r="13" spans="1:46" ht="20" customHeight="1" x14ac:dyDescent="0.25">
      <c r="A13" s="86"/>
      <c r="B13" s="63"/>
      <c r="C13" s="63"/>
      <c r="D13" s="63"/>
      <c r="E13" s="66"/>
      <c r="V13" s="23">
        <f>IF(PW&gt;=PHA,V4,W3*0.9/PW)</f>
        <v>45</v>
      </c>
      <c r="W13" s="11">
        <f>LH/bH-PW*V13</f>
        <v>4</v>
      </c>
      <c r="AA13" s="23">
        <f>IF(PW&gt;=PFA,AA4,AB3/PW)</f>
        <v>40</v>
      </c>
      <c r="AB13" s="11">
        <v>0</v>
      </c>
      <c r="AF13">
        <v>11</v>
      </c>
      <c r="AG13" s="2">
        <f t="shared" si="0"/>
        <v>18.181818181818183</v>
      </c>
      <c r="AH13" s="2">
        <f t="shared" si="1"/>
        <v>45.454545454545453</v>
      </c>
      <c r="AI13" s="2">
        <f t="shared" si="2"/>
        <v>18.181818181818183</v>
      </c>
      <c r="AJ13" s="2">
        <f t="shared" si="3"/>
        <v>29.09090909090909</v>
      </c>
      <c r="AK13" s="36">
        <f t="shared" si="4"/>
        <v>30</v>
      </c>
    </row>
    <row r="14" spans="1:46" ht="20" customHeight="1" x14ac:dyDescent="0.25">
      <c r="A14" s="87" t="s">
        <v>64</v>
      </c>
      <c r="B14" s="88"/>
      <c r="C14" s="88"/>
      <c r="D14" s="89"/>
      <c r="E14" s="68"/>
      <c r="O14" s="49" t="s">
        <v>84</v>
      </c>
      <c r="P14" s="49"/>
      <c r="Q14" s="49"/>
      <c r="V14" s="12" t="s">
        <v>46</v>
      </c>
      <c r="W14" s="13"/>
      <c r="X14" s="13"/>
      <c r="Y14" s="14"/>
      <c r="AA14" s="12" t="s">
        <v>47</v>
      </c>
      <c r="AB14" s="13"/>
      <c r="AC14" s="13"/>
      <c r="AD14" s="14"/>
      <c r="AF14">
        <v>12</v>
      </c>
      <c r="AG14" s="2">
        <f t="shared" si="0"/>
        <v>16.666666666666668</v>
      </c>
      <c r="AH14" s="2">
        <f t="shared" si="1"/>
        <v>41.666666666666664</v>
      </c>
      <c r="AI14" s="2">
        <f t="shared" si="2"/>
        <v>16.666666666666668</v>
      </c>
      <c r="AJ14" s="2">
        <f t="shared" si="3"/>
        <v>26.666666666666668</v>
      </c>
      <c r="AK14" s="36">
        <f t="shared" si="4"/>
        <v>29</v>
      </c>
    </row>
    <row r="15" spans="1:46" ht="20" customHeight="1" x14ac:dyDescent="0.35">
      <c r="A15" s="77"/>
      <c r="B15" s="78" t="s">
        <v>141</v>
      </c>
      <c r="C15" s="70">
        <f>X1HA</f>
        <v>10</v>
      </c>
      <c r="D15" s="79" t="s">
        <v>149</v>
      </c>
      <c r="E15" s="70">
        <f>X1FA</f>
        <v>20</v>
      </c>
      <c r="O15" s="49" t="s">
        <v>85</v>
      </c>
      <c r="P15" s="49"/>
      <c r="Q15" s="49"/>
      <c r="V15" s="19" t="s">
        <v>20</v>
      </c>
      <c r="W15" s="27">
        <v>1</v>
      </c>
      <c r="X15" s="20" t="s">
        <v>24</v>
      </c>
      <c r="Y15" s="24">
        <f>IHT/(2*P1HT)</f>
        <v>25</v>
      </c>
      <c r="AA15" s="19" t="s">
        <v>49</v>
      </c>
      <c r="AB15" s="27">
        <v>1</v>
      </c>
      <c r="AC15" s="20" t="s">
        <v>52</v>
      </c>
      <c r="AD15" s="24">
        <f>IFT/(2*P1FT)</f>
        <v>20</v>
      </c>
      <c r="AF15">
        <v>13</v>
      </c>
      <c r="AG15" s="2">
        <f t="shared" si="0"/>
        <v>15.384615384615385</v>
      </c>
      <c r="AH15" s="2">
        <f t="shared" si="1"/>
        <v>38.46153846153846</v>
      </c>
      <c r="AI15" s="2">
        <f t="shared" si="2"/>
        <v>15.384615384615385</v>
      </c>
      <c r="AJ15" s="2">
        <f t="shared" si="3"/>
        <v>24.615384615384617</v>
      </c>
      <c r="AK15" s="36">
        <f t="shared" si="4"/>
        <v>28</v>
      </c>
    </row>
    <row r="16" spans="1:46" ht="20" customHeight="1" x14ac:dyDescent="0.35">
      <c r="A16" s="58"/>
      <c r="B16" s="80" t="s">
        <v>142</v>
      </c>
      <c r="C16" s="70">
        <f>X2HA</f>
        <v>20</v>
      </c>
      <c r="D16" s="81" t="s">
        <v>150</v>
      </c>
      <c r="E16" s="70">
        <f>X2FA</f>
        <v>10</v>
      </c>
      <c r="O16" s="49" t="s">
        <v>83</v>
      </c>
      <c r="P16" s="49"/>
      <c r="Q16" s="49"/>
      <c r="V16" s="4" t="s">
        <v>21</v>
      </c>
      <c r="W16" s="28">
        <f>1/PW</f>
        <v>1.25</v>
      </c>
      <c r="X16" s="6" t="s">
        <v>25</v>
      </c>
      <c r="Y16" s="26">
        <f>IHT/(2*P2HT)</f>
        <v>20</v>
      </c>
      <c r="AA16" s="4" t="s">
        <v>50</v>
      </c>
      <c r="AB16" s="28">
        <f>1/PW</f>
        <v>1.25</v>
      </c>
      <c r="AC16" s="6" t="s">
        <v>53</v>
      </c>
      <c r="AD16" s="26">
        <f>IFT/(2*P2FT)</f>
        <v>16</v>
      </c>
      <c r="AF16">
        <v>14</v>
      </c>
      <c r="AG16" s="2">
        <f t="shared" si="0"/>
        <v>14.285714285714286</v>
      </c>
      <c r="AH16" s="2">
        <f t="shared" si="1"/>
        <v>35.714285714285715</v>
      </c>
      <c r="AI16" s="2">
        <f t="shared" si="2"/>
        <v>14.285714285714286</v>
      </c>
      <c r="AJ16" s="2">
        <f t="shared" si="3"/>
        <v>22.857142857142858</v>
      </c>
      <c r="AK16" s="36">
        <f t="shared" si="4"/>
        <v>27</v>
      </c>
    </row>
    <row r="17" spans="1:37" ht="20" customHeight="1" x14ac:dyDescent="0.25">
      <c r="A17" s="61" t="s">
        <v>65</v>
      </c>
      <c r="B17" s="63"/>
      <c r="C17" s="63"/>
      <c r="D17" s="63"/>
      <c r="E17" s="66"/>
      <c r="V17" s="4" t="s">
        <v>22</v>
      </c>
      <c r="W17" s="28">
        <f>wHT*LH</f>
        <v>50</v>
      </c>
      <c r="X17" s="6" t="s">
        <v>23</v>
      </c>
      <c r="Y17" s="29">
        <f>IF(PW&gt;=PHA,P1HT/aH,P2HT/bH)</f>
        <v>0.3125</v>
      </c>
      <c r="AA17" s="4" t="s">
        <v>51</v>
      </c>
      <c r="AB17" s="28">
        <f>wFT*LF</f>
        <v>40</v>
      </c>
      <c r="AC17" s="6" t="s">
        <v>54</v>
      </c>
      <c r="AD17" s="29">
        <f>IF(PW&gt;=PFA,P1FT/aF,P2FT/bF)</f>
        <v>0.25</v>
      </c>
      <c r="AF17">
        <v>15</v>
      </c>
      <c r="AG17" s="2">
        <f t="shared" si="0"/>
        <v>13.333333333333334</v>
      </c>
      <c r="AH17" s="2">
        <f t="shared" si="1"/>
        <v>33.333333333333336</v>
      </c>
      <c r="AI17" s="2">
        <f t="shared" si="2"/>
        <v>13.333333333333334</v>
      </c>
      <c r="AJ17" s="2">
        <f t="shared" si="3"/>
        <v>21.333333333333332</v>
      </c>
      <c r="AK17" s="36">
        <f t="shared" si="4"/>
        <v>26</v>
      </c>
    </row>
    <row r="18" spans="1:37" ht="20" customHeight="1" x14ac:dyDescent="0.35">
      <c r="A18" s="77"/>
      <c r="B18" s="78" t="s">
        <v>151</v>
      </c>
      <c r="C18" s="70">
        <f>X1HT</f>
        <v>25</v>
      </c>
      <c r="D18" s="79" t="s">
        <v>152</v>
      </c>
      <c r="E18" s="70">
        <f>X1FT</f>
        <v>20</v>
      </c>
      <c r="G18" s="2"/>
      <c r="V18" s="18"/>
      <c r="W18" s="9"/>
      <c r="X18" s="10" t="s">
        <v>55</v>
      </c>
      <c r="Y18" s="30">
        <f>X1HT*X2HT</f>
        <v>500</v>
      </c>
      <c r="AA18" s="18"/>
      <c r="AB18" s="9"/>
      <c r="AC18" s="10" t="s">
        <v>56</v>
      </c>
      <c r="AD18" s="30">
        <f>X1FT*X2FT</f>
        <v>320</v>
      </c>
      <c r="AF18">
        <v>16</v>
      </c>
      <c r="AG18" s="2">
        <f t="shared" si="0"/>
        <v>12.5</v>
      </c>
      <c r="AH18" s="2">
        <f t="shared" si="1"/>
        <v>31.25</v>
      </c>
      <c r="AI18" s="2">
        <f t="shared" si="2"/>
        <v>12.5</v>
      </c>
      <c r="AJ18" s="2">
        <f t="shared" si="3"/>
        <v>20</v>
      </c>
      <c r="AK18" s="36">
        <f t="shared" si="4"/>
        <v>25</v>
      </c>
    </row>
    <row r="19" spans="1:37" ht="20" customHeight="1" x14ac:dyDescent="0.35">
      <c r="A19" s="86"/>
      <c r="B19" s="84" t="s">
        <v>153</v>
      </c>
      <c r="C19" s="70">
        <f>X2HT</f>
        <v>20</v>
      </c>
      <c r="D19" s="90" t="s">
        <v>154</v>
      </c>
      <c r="E19" s="70">
        <f>X2FT</f>
        <v>16</v>
      </c>
      <c r="N19" s="94" t="s">
        <v>87</v>
      </c>
      <c r="V19" s="12" t="s">
        <v>27</v>
      </c>
      <c r="W19" s="14"/>
      <c r="X19" s="12" t="s">
        <v>62</v>
      </c>
      <c r="Y19" s="14"/>
      <c r="AA19" s="12" t="s">
        <v>48</v>
      </c>
      <c r="AB19" s="14"/>
      <c r="AC19" s="12" t="s">
        <v>63</v>
      </c>
      <c r="AD19" s="14"/>
      <c r="AF19">
        <v>17</v>
      </c>
      <c r="AG19" s="2">
        <f t="shared" si="0"/>
        <v>11.764705882352942</v>
      </c>
      <c r="AH19" s="2">
        <f t="shared" si="1"/>
        <v>29.411764705882351</v>
      </c>
      <c r="AI19" s="2">
        <f t="shared" si="2"/>
        <v>11.764705882352942</v>
      </c>
      <c r="AJ19" s="2">
        <f t="shared" si="3"/>
        <v>18.823529411764707</v>
      </c>
      <c r="AK19" s="36">
        <f t="shared" si="4"/>
        <v>24</v>
      </c>
    </row>
    <row r="20" spans="1:37" ht="20" customHeight="1" x14ac:dyDescent="0.25">
      <c r="A20" s="86"/>
      <c r="B20" s="62" t="s">
        <v>67</v>
      </c>
      <c r="C20" s="91">
        <f>W3-X2HT</f>
        <v>20</v>
      </c>
      <c r="D20" s="61" t="s">
        <v>71</v>
      </c>
      <c r="E20" s="91">
        <f>X2FT</f>
        <v>16</v>
      </c>
      <c r="N20" s="94" t="s">
        <v>86</v>
      </c>
      <c r="V20" s="25">
        <f>IF(PW&lt;PHA,0,V4)</f>
        <v>0</v>
      </c>
      <c r="W20" s="3">
        <f>IF(PW&lt;PHA,W3,0)</f>
        <v>40</v>
      </c>
      <c r="X20" s="25">
        <v>0</v>
      </c>
      <c r="Y20" s="3">
        <f>W3</f>
        <v>40</v>
      </c>
      <c r="AA20" s="25">
        <f>IF(PW&lt;PFA,0,AA4)</f>
        <v>40</v>
      </c>
      <c r="AB20" s="3">
        <f>IF(PW&lt;PFA,AB3,0)</f>
        <v>0</v>
      </c>
      <c r="AC20" s="25">
        <f>AA4</f>
        <v>40</v>
      </c>
      <c r="AD20" s="3">
        <v>0</v>
      </c>
      <c r="AF20">
        <v>18</v>
      </c>
      <c r="AG20" s="2">
        <f t="shared" si="0"/>
        <v>11.111111111111111</v>
      </c>
      <c r="AH20" s="2">
        <f t="shared" si="1"/>
        <v>27.777777777777779</v>
      </c>
      <c r="AI20" s="2">
        <f t="shared" si="2"/>
        <v>11.111111111111111</v>
      </c>
      <c r="AJ20" s="2">
        <f t="shared" si="3"/>
        <v>17.777777777777779</v>
      </c>
      <c r="AK20" s="36">
        <f t="shared" si="4"/>
        <v>23</v>
      </c>
    </row>
    <row r="21" spans="1:37" ht="20" customHeight="1" x14ac:dyDescent="0.25">
      <c r="A21" s="86"/>
      <c r="B21" s="62" t="s">
        <v>66</v>
      </c>
      <c r="C21" s="91">
        <f>X1HT</f>
        <v>25</v>
      </c>
      <c r="D21" s="61" t="s">
        <v>72</v>
      </c>
      <c r="E21" s="91">
        <f>AA4-X1FT</f>
        <v>20</v>
      </c>
      <c r="V21" s="17">
        <f>X1HA</f>
        <v>10</v>
      </c>
      <c r="W21" s="7">
        <f>X2HA</f>
        <v>20</v>
      </c>
      <c r="X21" s="17">
        <v>0</v>
      </c>
      <c r="Y21" s="7">
        <f>IF(PW=PHA,W3,X2HT)</f>
        <v>20</v>
      </c>
      <c r="AA21" s="17">
        <f>X1FA</f>
        <v>20</v>
      </c>
      <c r="AB21" s="7">
        <f>X2FA</f>
        <v>10</v>
      </c>
      <c r="AC21" s="17">
        <f>X1FT</f>
        <v>20</v>
      </c>
      <c r="AD21" s="7">
        <f>X2FT</f>
        <v>16</v>
      </c>
      <c r="AF21">
        <v>19</v>
      </c>
      <c r="AG21" s="2">
        <f t="shared" si="0"/>
        <v>10.526315789473685</v>
      </c>
      <c r="AH21" s="2">
        <f t="shared" si="1"/>
        <v>26.315789473684209</v>
      </c>
      <c r="AI21" s="2">
        <f t="shared" si="2"/>
        <v>10.526315789473685</v>
      </c>
      <c r="AJ21" s="2">
        <f t="shared" si="3"/>
        <v>16.842105263157894</v>
      </c>
      <c r="AK21" s="36">
        <f t="shared" si="4"/>
        <v>22</v>
      </c>
    </row>
    <row r="22" spans="1:37" ht="20" customHeight="1" x14ac:dyDescent="0.25">
      <c r="A22" s="58"/>
      <c r="B22" s="92" t="s">
        <v>78</v>
      </c>
      <c r="C22" s="70">
        <f>C20-E20</f>
        <v>4</v>
      </c>
      <c r="D22" s="93" t="s">
        <v>79</v>
      </c>
      <c r="E22" s="70">
        <f>C21-E21</f>
        <v>5</v>
      </c>
      <c r="V22" s="31">
        <f>X1HT</f>
        <v>25</v>
      </c>
      <c r="W22" s="7">
        <f>X2HT</f>
        <v>20</v>
      </c>
      <c r="X22" s="31">
        <f>IF(PW=PHA,0,X1HT)</f>
        <v>25</v>
      </c>
      <c r="Y22" s="7">
        <f>IF(PW=PHA,W3,X2HT)</f>
        <v>20</v>
      </c>
      <c r="AA22" s="31">
        <f>X1FT</f>
        <v>20</v>
      </c>
      <c r="AB22" s="7">
        <f>X2FT</f>
        <v>16</v>
      </c>
      <c r="AC22" s="31">
        <f>X1FT</f>
        <v>20</v>
      </c>
      <c r="AD22" s="7">
        <v>0</v>
      </c>
      <c r="AF22">
        <v>20</v>
      </c>
      <c r="AG22" s="2">
        <f t="shared" si="0"/>
        <v>10</v>
      </c>
      <c r="AH22" s="2">
        <f t="shared" si="1"/>
        <v>25</v>
      </c>
      <c r="AI22" s="2">
        <f t="shared" si="2"/>
        <v>10</v>
      </c>
      <c r="AJ22" s="2">
        <f t="shared" si="3"/>
        <v>16</v>
      </c>
      <c r="AK22" s="36">
        <f t="shared" si="4"/>
        <v>21</v>
      </c>
    </row>
    <row r="23" spans="1:37" ht="20" customHeight="1" x14ac:dyDescent="0.2">
      <c r="V23" s="32">
        <f>IF(PW=PHA,X1HT,IF(PW&lt;PHA,X1HT+5,X1HT))</f>
        <v>30</v>
      </c>
      <c r="W23" s="11">
        <f>IF(PW=PHA,X2HT,IF(PW&lt;PHA,X2HT,X2HT+5))</f>
        <v>20</v>
      </c>
      <c r="X23" s="18">
        <v>0</v>
      </c>
      <c r="Y23" s="11">
        <f>Y20</f>
        <v>40</v>
      </c>
      <c r="AA23" s="32">
        <f>IF(PW=PFA,X1FT,IF(PW&lt;PFA,X1FT+5,X1FT))</f>
        <v>20</v>
      </c>
      <c r="AB23" s="11">
        <f>IF(PW=PFA,X2FT,IF(PW&lt;PFA,X2FT,X2FT+5))</f>
        <v>21</v>
      </c>
      <c r="AC23" s="18">
        <f>AA4</f>
        <v>40</v>
      </c>
      <c r="AD23" s="11">
        <f>AD20</f>
        <v>0</v>
      </c>
      <c r="AF23">
        <v>21</v>
      </c>
      <c r="AG23" s="2">
        <f t="shared" si="0"/>
        <v>9.5238095238095237</v>
      </c>
      <c r="AH23" s="2">
        <f t="shared" si="1"/>
        <v>23.80952380952381</v>
      </c>
      <c r="AI23" s="2">
        <f t="shared" si="2"/>
        <v>9.5238095238095237</v>
      </c>
      <c r="AJ23" s="2">
        <f t="shared" si="3"/>
        <v>15.238095238095237</v>
      </c>
      <c r="AK23" s="36">
        <f t="shared" si="4"/>
        <v>20</v>
      </c>
    </row>
    <row r="24" spans="1:37" ht="20" customHeight="1" x14ac:dyDescent="0.2">
      <c r="AF24">
        <v>22</v>
      </c>
      <c r="AG24" s="2">
        <f t="shared" si="0"/>
        <v>9.0909090909090917</v>
      </c>
      <c r="AH24" s="2">
        <f t="shared" si="1"/>
        <v>22.727272727272727</v>
      </c>
      <c r="AI24" s="2">
        <f t="shared" si="2"/>
        <v>9.0909090909090917</v>
      </c>
      <c r="AJ24" s="2">
        <f t="shared" si="3"/>
        <v>14.545454545454545</v>
      </c>
      <c r="AK24" s="36">
        <f t="shared" si="4"/>
        <v>19</v>
      </c>
    </row>
    <row r="25" spans="1:37" ht="20" customHeight="1" x14ac:dyDescent="0.2">
      <c r="AF25">
        <v>23</v>
      </c>
      <c r="AG25" s="2">
        <f t="shared" si="0"/>
        <v>8.695652173913043</v>
      </c>
      <c r="AH25" s="2">
        <f t="shared" si="1"/>
        <v>21.739130434782609</v>
      </c>
      <c r="AI25" s="2">
        <f t="shared" si="2"/>
        <v>8.695652173913043</v>
      </c>
      <c r="AJ25" s="2">
        <f t="shared" si="3"/>
        <v>13.913043478260869</v>
      </c>
      <c r="AK25" s="36">
        <f t="shared" si="4"/>
        <v>18</v>
      </c>
    </row>
    <row r="26" spans="1:37" ht="20" customHeight="1" x14ac:dyDescent="0.2">
      <c r="AF26">
        <v>24</v>
      </c>
      <c r="AG26" s="2">
        <f t="shared" si="0"/>
        <v>8.3333333333333339</v>
      </c>
      <c r="AH26" s="2">
        <f t="shared" si="1"/>
        <v>20.833333333333332</v>
      </c>
      <c r="AI26" s="2">
        <f t="shared" si="2"/>
        <v>8.3333333333333339</v>
      </c>
      <c r="AJ26" s="2">
        <f t="shared" si="3"/>
        <v>13.333333333333334</v>
      </c>
      <c r="AK26" s="36">
        <f t="shared" si="4"/>
        <v>17</v>
      </c>
    </row>
    <row r="27" spans="1:37" ht="20" customHeight="1" x14ac:dyDescent="0.2">
      <c r="AF27">
        <v>25</v>
      </c>
      <c r="AG27" s="2">
        <f t="shared" si="0"/>
        <v>8</v>
      </c>
      <c r="AH27" s="2">
        <f t="shared" si="1"/>
        <v>20</v>
      </c>
      <c r="AI27" s="2">
        <f t="shared" si="2"/>
        <v>8</v>
      </c>
      <c r="AJ27" s="2">
        <f t="shared" si="3"/>
        <v>12.8</v>
      </c>
      <c r="AK27" s="36">
        <f t="shared" si="4"/>
        <v>16</v>
      </c>
    </row>
    <row r="28" spans="1:37" ht="20" customHeight="1" x14ac:dyDescent="0.2">
      <c r="AF28">
        <v>26</v>
      </c>
      <c r="AG28" s="2">
        <f t="shared" si="0"/>
        <v>7.6923076923076925</v>
      </c>
      <c r="AH28" s="2">
        <f t="shared" ref="AH28:AH82" si="5">UHT/AF28</f>
        <v>19.23076923076923</v>
      </c>
      <c r="AI28" s="2">
        <f t="shared" ref="AI28:AI82" si="6">UFA/AF28</f>
        <v>7.6923076923076925</v>
      </c>
      <c r="AJ28" s="2">
        <f t="shared" ref="AJ28:AJ82" si="7">UFT/AF28</f>
        <v>12.307692307692308</v>
      </c>
      <c r="AK28" s="36">
        <f t="shared" si="4"/>
        <v>15</v>
      </c>
    </row>
    <row r="29" spans="1:37" ht="20" customHeight="1" x14ac:dyDescent="0.2">
      <c r="AF29">
        <v>27</v>
      </c>
      <c r="AG29" s="2">
        <f t="shared" si="0"/>
        <v>7.4074074074074074</v>
      </c>
      <c r="AH29" s="2">
        <f t="shared" si="5"/>
        <v>18.518518518518519</v>
      </c>
      <c r="AI29" s="2">
        <f t="shared" si="6"/>
        <v>7.4074074074074074</v>
      </c>
      <c r="AJ29" s="2">
        <f t="shared" si="7"/>
        <v>11.851851851851851</v>
      </c>
      <c r="AK29" s="36">
        <f t="shared" si="4"/>
        <v>14</v>
      </c>
    </row>
    <row r="30" spans="1:37" ht="20" customHeight="1" x14ac:dyDescent="0.2">
      <c r="AF30">
        <v>28</v>
      </c>
      <c r="AG30" s="2">
        <f t="shared" si="0"/>
        <v>7.1428571428571432</v>
      </c>
      <c r="AH30" s="2">
        <f t="shared" si="5"/>
        <v>17.857142857142858</v>
      </c>
      <c r="AI30" s="2">
        <f t="shared" si="6"/>
        <v>7.1428571428571432</v>
      </c>
      <c r="AJ30" s="2">
        <f t="shared" si="7"/>
        <v>11.428571428571429</v>
      </c>
      <c r="AK30" s="36">
        <f t="shared" si="4"/>
        <v>13</v>
      </c>
    </row>
    <row r="31" spans="1:37" ht="20" customHeight="1" x14ac:dyDescent="0.2">
      <c r="AF31">
        <v>29</v>
      </c>
      <c r="AG31" s="2">
        <f t="shared" si="0"/>
        <v>6.8965517241379306</v>
      </c>
      <c r="AH31" s="2">
        <f t="shared" si="5"/>
        <v>17.241379310344829</v>
      </c>
      <c r="AI31" s="2">
        <f t="shared" si="6"/>
        <v>6.8965517241379306</v>
      </c>
      <c r="AJ31" s="2">
        <f t="shared" si="7"/>
        <v>11.03448275862069</v>
      </c>
      <c r="AK31" s="36">
        <f t="shared" si="4"/>
        <v>12</v>
      </c>
    </row>
    <row r="32" spans="1:37" ht="20" customHeight="1" x14ac:dyDescent="0.2">
      <c r="AF32">
        <v>30</v>
      </c>
      <c r="AG32" s="2">
        <f t="shared" si="0"/>
        <v>6.666666666666667</v>
      </c>
      <c r="AH32" s="2">
        <f t="shared" si="5"/>
        <v>16.666666666666668</v>
      </c>
      <c r="AI32" s="2">
        <f t="shared" si="6"/>
        <v>6.666666666666667</v>
      </c>
      <c r="AJ32" s="2">
        <f t="shared" si="7"/>
        <v>10.666666666666666</v>
      </c>
      <c r="AK32" s="36">
        <f t="shared" si="4"/>
        <v>11</v>
      </c>
    </row>
    <row r="33" spans="32:37" ht="20" customHeight="1" x14ac:dyDescent="0.2">
      <c r="AF33">
        <v>31</v>
      </c>
      <c r="AG33" s="2">
        <f t="shared" si="0"/>
        <v>6.4516129032258061</v>
      </c>
      <c r="AH33" s="2">
        <f t="shared" si="5"/>
        <v>16.129032258064516</v>
      </c>
      <c r="AI33" s="2">
        <f t="shared" si="6"/>
        <v>6.4516129032258061</v>
      </c>
      <c r="AJ33" s="2">
        <f t="shared" si="7"/>
        <v>10.32258064516129</v>
      </c>
      <c r="AK33" s="36">
        <f t="shared" si="4"/>
        <v>10</v>
      </c>
    </row>
    <row r="34" spans="32:37" ht="20" customHeight="1" x14ac:dyDescent="0.2">
      <c r="AF34">
        <v>32</v>
      </c>
      <c r="AG34" s="2">
        <f t="shared" si="0"/>
        <v>6.25</v>
      </c>
      <c r="AH34" s="2">
        <f t="shared" si="5"/>
        <v>15.625</v>
      </c>
      <c r="AI34" s="2">
        <f t="shared" si="6"/>
        <v>6.25</v>
      </c>
      <c r="AJ34" s="2">
        <f t="shared" si="7"/>
        <v>10</v>
      </c>
      <c r="AK34" s="36">
        <f t="shared" si="4"/>
        <v>9</v>
      </c>
    </row>
    <row r="35" spans="32:37" ht="20" customHeight="1" x14ac:dyDescent="0.2">
      <c r="AF35">
        <v>33</v>
      </c>
      <c r="AG35" s="2">
        <f t="shared" ref="AG35:AG66" si="8">UHA/AF$3:AF$65536</f>
        <v>6.0606060606060606</v>
      </c>
      <c r="AH35" s="2">
        <f t="shared" si="5"/>
        <v>15.151515151515152</v>
      </c>
      <c r="AI35" s="2">
        <f t="shared" si="6"/>
        <v>6.0606060606060606</v>
      </c>
      <c r="AJ35" s="2">
        <f t="shared" si="7"/>
        <v>9.6969696969696972</v>
      </c>
      <c r="AK35" s="36">
        <f t="shared" si="4"/>
        <v>8</v>
      </c>
    </row>
    <row r="36" spans="32:37" ht="20" customHeight="1" x14ac:dyDescent="0.2">
      <c r="AF36">
        <v>34</v>
      </c>
      <c r="AG36" s="2">
        <f t="shared" si="8"/>
        <v>5.882352941176471</v>
      </c>
      <c r="AH36" s="2">
        <f t="shared" si="5"/>
        <v>14.705882352941176</v>
      </c>
      <c r="AI36" s="2">
        <f t="shared" si="6"/>
        <v>5.882352941176471</v>
      </c>
      <c r="AJ36" s="2">
        <f t="shared" si="7"/>
        <v>9.4117647058823533</v>
      </c>
      <c r="AK36" s="36">
        <f t="shared" si="4"/>
        <v>7</v>
      </c>
    </row>
    <row r="37" spans="32:37" ht="20" customHeight="1" x14ac:dyDescent="0.2">
      <c r="AF37">
        <v>35</v>
      </c>
      <c r="AG37" s="2">
        <f t="shared" si="8"/>
        <v>5.7142857142857144</v>
      </c>
      <c r="AH37" s="2">
        <f t="shared" si="5"/>
        <v>14.285714285714286</v>
      </c>
      <c r="AI37" s="2">
        <f t="shared" si="6"/>
        <v>5.7142857142857144</v>
      </c>
      <c r="AJ37" s="2">
        <f t="shared" si="7"/>
        <v>9.1428571428571423</v>
      </c>
      <c r="AK37" s="36">
        <f t="shared" si="4"/>
        <v>6</v>
      </c>
    </row>
    <row r="38" spans="32:37" ht="20" customHeight="1" x14ac:dyDescent="0.2">
      <c r="AF38">
        <v>36</v>
      </c>
      <c r="AG38" s="2">
        <f t="shared" si="8"/>
        <v>5.5555555555555554</v>
      </c>
      <c r="AH38" s="2">
        <f t="shared" si="5"/>
        <v>13.888888888888889</v>
      </c>
      <c r="AI38" s="2">
        <f t="shared" si="6"/>
        <v>5.5555555555555554</v>
      </c>
      <c r="AJ38" s="2">
        <f t="shared" si="7"/>
        <v>8.8888888888888893</v>
      </c>
      <c r="AK38" s="36">
        <f t="shared" si="4"/>
        <v>5</v>
      </c>
    </row>
    <row r="39" spans="32:37" ht="20" customHeight="1" x14ac:dyDescent="0.2">
      <c r="AF39">
        <v>37</v>
      </c>
      <c r="AG39" s="2">
        <f t="shared" si="8"/>
        <v>5.4054054054054053</v>
      </c>
      <c r="AH39" s="2">
        <f t="shared" si="5"/>
        <v>13.513513513513514</v>
      </c>
      <c r="AI39" s="2">
        <f t="shared" si="6"/>
        <v>5.4054054054054053</v>
      </c>
      <c r="AJ39" s="2">
        <f t="shared" si="7"/>
        <v>8.6486486486486491</v>
      </c>
      <c r="AK39" s="36">
        <f t="shared" si="4"/>
        <v>4</v>
      </c>
    </row>
    <row r="40" spans="32:37" ht="20" customHeight="1" x14ac:dyDescent="0.2">
      <c r="AF40">
        <v>38</v>
      </c>
      <c r="AG40" s="2">
        <f t="shared" si="8"/>
        <v>5.2631578947368425</v>
      </c>
      <c r="AH40" s="2">
        <f t="shared" si="5"/>
        <v>13.157894736842104</v>
      </c>
      <c r="AI40" s="2">
        <f t="shared" si="6"/>
        <v>5.2631578947368425</v>
      </c>
      <c r="AJ40" s="2">
        <f t="shared" si="7"/>
        <v>8.4210526315789469</v>
      </c>
      <c r="AK40" s="36">
        <f t="shared" si="4"/>
        <v>3</v>
      </c>
    </row>
    <row r="41" spans="32:37" ht="20" customHeight="1" x14ac:dyDescent="0.2">
      <c r="AF41">
        <v>39</v>
      </c>
      <c r="AG41" s="2">
        <f t="shared" si="8"/>
        <v>5.1282051282051286</v>
      </c>
      <c r="AH41" s="2">
        <f t="shared" si="5"/>
        <v>12.820512820512821</v>
      </c>
      <c r="AI41" s="2">
        <f t="shared" si="6"/>
        <v>5.1282051282051286</v>
      </c>
      <c r="AJ41" s="2">
        <f t="shared" si="7"/>
        <v>8.2051282051282044</v>
      </c>
      <c r="AK41" s="36">
        <f t="shared" si="4"/>
        <v>2</v>
      </c>
    </row>
    <row r="42" spans="32:37" ht="20" customHeight="1" x14ac:dyDescent="0.2">
      <c r="AF42">
        <v>40</v>
      </c>
      <c r="AG42" s="2">
        <f t="shared" si="8"/>
        <v>5</v>
      </c>
      <c r="AH42" s="2">
        <f t="shared" si="5"/>
        <v>12.5</v>
      </c>
      <c r="AI42" s="2">
        <f t="shared" si="6"/>
        <v>5</v>
      </c>
      <c r="AJ42" s="2">
        <f t="shared" si="7"/>
        <v>8</v>
      </c>
      <c r="AK42" s="36">
        <f t="shared" si="4"/>
        <v>1</v>
      </c>
    </row>
    <row r="43" spans="32:37" ht="20" customHeight="1" x14ac:dyDescent="0.2">
      <c r="AF43">
        <v>41</v>
      </c>
      <c r="AG43" s="2">
        <f t="shared" si="8"/>
        <v>4.8780487804878048</v>
      </c>
      <c r="AH43" s="2">
        <f t="shared" si="5"/>
        <v>12.195121951219512</v>
      </c>
      <c r="AI43" s="2">
        <f t="shared" si="6"/>
        <v>4.8780487804878048</v>
      </c>
      <c r="AJ43" s="2">
        <f t="shared" si="7"/>
        <v>7.8048780487804876</v>
      </c>
      <c r="AK43" s="36">
        <f t="shared" si="4"/>
        <v>0</v>
      </c>
    </row>
    <row r="44" spans="32:37" ht="20" customHeight="1" x14ac:dyDescent="0.2">
      <c r="AF44">
        <v>42</v>
      </c>
      <c r="AG44" s="2">
        <f t="shared" si="8"/>
        <v>4.7619047619047619</v>
      </c>
      <c r="AH44" s="2">
        <f t="shared" si="5"/>
        <v>11.904761904761905</v>
      </c>
      <c r="AI44" s="2">
        <f t="shared" si="6"/>
        <v>4.7619047619047619</v>
      </c>
      <c r="AJ44" s="2">
        <f t="shared" si="7"/>
        <v>7.6190476190476186</v>
      </c>
      <c r="AK44" s="36">
        <f t="shared" si="4"/>
        <v>-1</v>
      </c>
    </row>
    <row r="45" spans="32:37" ht="20" customHeight="1" x14ac:dyDescent="0.2">
      <c r="AF45">
        <v>43</v>
      </c>
      <c r="AG45" s="2">
        <f t="shared" si="8"/>
        <v>4.6511627906976747</v>
      </c>
      <c r="AH45" s="2">
        <f t="shared" si="5"/>
        <v>11.627906976744185</v>
      </c>
      <c r="AI45" s="2">
        <f t="shared" si="6"/>
        <v>4.6511627906976747</v>
      </c>
      <c r="AJ45" s="2">
        <f t="shared" si="7"/>
        <v>7.441860465116279</v>
      </c>
      <c r="AK45" s="36">
        <f t="shared" si="4"/>
        <v>-2</v>
      </c>
    </row>
    <row r="46" spans="32:37" ht="20" customHeight="1" x14ac:dyDescent="0.2">
      <c r="AF46">
        <v>44</v>
      </c>
      <c r="AG46" s="2">
        <f t="shared" si="8"/>
        <v>4.5454545454545459</v>
      </c>
      <c r="AH46" s="2">
        <f t="shared" si="5"/>
        <v>11.363636363636363</v>
      </c>
      <c r="AI46" s="2">
        <f t="shared" si="6"/>
        <v>4.5454545454545459</v>
      </c>
      <c r="AJ46" s="2">
        <f t="shared" si="7"/>
        <v>7.2727272727272725</v>
      </c>
      <c r="AK46" s="36">
        <f t="shared" si="4"/>
        <v>-3</v>
      </c>
    </row>
    <row r="47" spans="32:37" ht="20" customHeight="1" x14ac:dyDescent="0.2">
      <c r="AF47">
        <v>45</v>
      </c>
      <c r="AG47" s="2">
        <f t="shared" si="8"/>
        <v>4.4444444444444446</v>
      </c>
      <c r="AH47" s="2">
        <f t="shared" si="5"/>
        <v>11.111111111111111</v>
      </c>
      <c r="AI47" s="2">
        <f t="shared" si="6"/>
        <v>4.4444444444444446</v>
      </c>
      <c r="AJ47" s="2">
        <f t="shared" si="7"/>
        <v>7.1111111111111107</v>
      </c>
      <c r="AK47" s="36">
        <f t="shared" si="4"/>
        <v>-4</v>
      </c>
    </row>
    <row r="48" spans="32:37" ht="20" customHeight="1" x14ac:dyDescent="0.2">
      <c r="AF48">
        <v>46</v>
      </c>
      <c r="AG48" s="2">
        <f t="shared" si="8"/>
        <v>4.3478260869565215</v>
      </c>
      <c r="AH48" s="2">
        <f t="shared" si="5"/>
        <v>10.869565217391305</v>
      </c>
      <c r="AI48" s="2">
        <f t="shared" si="6"/>
        <v>4.3478260869565215</v>
      </c>
      <c r="AJ48" s="2">
        <f t="shared" si="7"/>
        <v>6.9565217391304346</v>
      </c>
      <c r="AK48" s="36">
        <f t="shared" si="4"/>
        <v>-5</v>
      </c>
    </row>
    <row r="49" spans="32:37" ht="20" customHeight="1" x14ac:dyDescent="0.2">
      <c r="AF49">
        <v>47</v>
      </c>
      <c r="AG49" s="2">
        <f t="shared" si="8"/>
        <v>4.2553191489361701</v>
      </c>
      <c r="AH49" s="2">
        <f t="shared" si="5"/>
        <v>10.638297872340425</v>
      </c>
      <c r="AI49" s="2">
        <f t="shared" si="6"/>
        <v>4.2553191489361701</v>
      </c>
      <c r="AJ49" s="2">
        <f t="shared" si="7"/>
        <v>6.8085106382978724</v>
      </c>
      <c r="AK49" s="36">
        <f t="shared" si="4"/>
        <v>-6</v>
      </c>
    </row>
    <row r="50" spans="32:37" ht="20" customHeight="1" x14ac:dyDescent="0.2">
      <c r="AF50">
        <v>48</v>
      </c>
      <c r="AG50" s="2">
        <f t="shared" si="8"/>
        <v>4.166666666666667</v>
      </c>
      <c r="AH50" s="2">
        <f t="shared" si="5"/>
        <v>10.416666666666666</v>
      </c>
      <c r="AI50" s="2">
        <f t="shared" si="6"/>
        <v>4.166666666666667</v>
      </c>
      <c r="AJ50" s="2">
        <f t="shared" si="7"/>
        <v>6.666666666666667</v>
      </c>
      <c r="AK50" s="36">
        <f t="shared" si="4"/>
        <v>-7</v>
      </c>
    </row>
    <row r="51" spans="32:37" ht="20" customHeight="1" x14ac:dyDescent="0.2">
      <c r="AF51">
        <v>49</v>
      </c>
      <c r="AG51" s="2">
        <f t="shared" si="8"/>
        <v>4.0816326530612246</v>
      </c>
      <c r="AH51" s="2">
        <f t="shared" si="5"/>
        <v>10.204081632653061</v>
      </c>
      <c r="AI51" s="2">
        <f t="shared" si="6"/>
        <v>4.0816326530612246</v>
      </c>
      <c r="AJ51" s="2">
        <f t="shared" si="7"/>
        <v>6.5306122448979593</v>
      </c>
      <c r="AK51" s="36">
        <f t="shared" si="4"/>
        <v>-8</v>
      </c>
    </row>
    <row r="52" spans="32:37" ht="20" customHeight="1" x14ac:dyDescent="0.2">
      <c r="AF52">
        <v>50</v>
      </c>
      <c r="AG52" s="2">
        <f t="shared" si="8"/>
        <v>4</v>
      </c>
      <c r="AH52" s="2">
        <f t="shared" si="5"/>
        <v>10</v>
      </c>
      <c r="AI52" s="2">
        <f t="shared" si="6"/>
        <v>4</v>
      </c>
      <c r="AJ52" s="2">
        <f t="shared" si="7"/>
        <v>6.4</v>
      </c>
      <c r="AK52" s="36">
        <f t="shared" si="4"/>
        <v>-9</v>
      </c>
    </row>
    <row r="53" spans="32:37" ht="20" customHeight="1" x14ac:dyDescent="0.2">
      <c r="AF53">
        <v>51</v>
      </c>
      <c r="AG53" s="2">
        <f t="shared" si="8"/>
        <v>3.9215686274509802</v>
      </c>
      <c r="AH53" s="2">
        <f t="shared" si="5"/>
        <v>9.8039215686274517</v>
      </c>
      <c r="AI53" s="2">
        <f t="shared" si="6"/>
        <v>3.9215686274509802</v>
      </c>
      <c r="AJ53" s="2">
        <f t="shared" si="7"/>
        <v>6.2745098039215685</v>
      </c>
      <c r="AK53" s="36">
        <f t="shared" si="4"/>
        <v>-10</v>
      </c>
    </row>
    <row r="54" spans="32:37" ht="20" customHeight="1" x14ac:dyDescent="0.2">
      <c r="AF54">
        <v>52</v>
      </c>
      <c r="AG54" s="2">
        <f t="shared" si="8"/>
        <v>3.8461538461538463</v>
      </c>
      <c r="AH54" s="2">
        <f t="shared" si="5"/>
        <v>9.615384615384615</v>
      </c>
      <c r="AI54" s="2">
        <f t="shared" si="6"/>
        <v>3.8461538461538463</v>
      </c>
      <c r="AJ54" s="2">
        <f t="shared" si="7"/>
        <v>6.1538461538461542</v>
      </c>
      <c r="AK54" s="36">
        <f t="shared" si="4"/>
        <v>-11</v>
      </c>
    </row>
    <row r="55" spans="32:37" ht="20" customHeight="1" x14ac:dyDescent="0.2">
      <c r="AF55">
        <v>53</v>
      </c>
      <c r="AG55" s="2">
        <f t="shared" si="8"/>
        <v>3.7735849056603774</v>
      </c>
      <c r="AH55" s="2">
        <f t="shared" si="5"/>
        <v>9.433962264150944</v>
      </c>
      <c r="AI55" s="2">
        <f t="shared" si="6"/>
        <v>3.7735849056603774</v>
      </c>
      <c r="AJ55" s="2">
        <f t="shared" si="7"/>
        <v>6.0377358490566042</v>
      </c>
      <c r="AK55" s="36">
        <f t="shared" si="4"/>
        <v>-12</v>
      </c>
    </row>
    <row r="56" spans="32:37" ht="20" customHeight="1" x14ac:dyDescent="0.2">
      <c r="AF56">
        <v>54</v>
      </c>
      <c r="AG56" s="2">
        <f t="shared" si="8"/>
        <v>3.7037037037037037</v>
      </c>
      <c r="AH56" s="2">
        <f t="shared" si="5"/>
        <v>9.2592592592592595</v>
      </c>
      <c r="AI56" s="2">
        <f t="shared" si="6"/>
        <v>3.7037037037037037</v>
      </c>
      <c r="AJ56" s="2">
        <f t="shared" si="7"/>
        <v>5.9259259259259256</v>
      </c>
      <c r="AK56" s="36">
        <f t="shared" si="4"/>
        <v>-13</v>
      </c>
    </row>
    <row r="57" spans="32:37" ht="20" customHeight="1" x14ac:dyDescent="0.2">
      <c r="AF57">
        <v>55</v>
      </c>
      <c r="AG57" s="2">
        <f t="shared" si="8"/>
        <v>3.6363636363636362</v>
      </c>
      <c r="AH57" s="2">
        <f t="shared" si="5"/>
        <v>9.0909090909090917</v>
      </c>
      <c r="AI57" s="2">
        <f t="shared" si="6"/>
        <v>3.6363636363636362</v>
      </c>
      <c r="AJ57" s="2">
        <f t="shared" si="7"/>
        <v>5.8181818181818183</v>
      </c>
      <c r="AK57" s="36">
        <f t="shared" si="4"/>
        <v>-14</v>
      </c>
    </row>
    <row r="58" spans="32:37" ht="20" customHeight="1" x14ac:dyDescent="0.2">
      <c r="AF58">
        <v>56</v>
      </c>
      <c r="AG58" s="2">
        <f t="shared" si="8"/>
        <v>3.5714285714285716</v>
      </c>
      <c r="AH58" s="2">
        <f t="shared" si="5"/>
        <v>8.9285714285714288</v>
      </c>
      <c r="AI58" s="2">
        <f t="shared" si="6"/>
        <v>3.5714285714285716</v>
      </c>
      <c r="AJ58" s="2">
        <f t="shared" si="7"/>
        <v>5.7142857142857144</v>
      </c>
      <c r="AK58" s="36">
        <f t="shared" si="4"/>
        <v>-15</v>
      </c>
    </row>
    <row r="59" spans="32:37" ht="20" customHeight="1" x14ac:dyDescent="0.2">
      <c r="AF59">
        <v>57</v>
      </c>
      <c r="AG59" s="2">
        <f t="shared" si="8"/>
        <v>3.5087719298245612</v>
      </c>
      <c r="AH59" s="2">
        <f t="shared" si="5"/>
        <v>8.7719298245614041</v>
      </c>
      <c r="AI59" s="2">
        <f t="shared" si="6"/>
        <v>3.5087719298245612</v>
      </c>
      <c r="AJ59" s="2">
        <f t="shared" si="7"/>
        <v>5.6140350877192979</v>
      </c>
      <c r="AK59" s="36">
        <f t="shared" si="4"/>
        <v>-16</v>
      </c>
    </row>
    <row r="60" spans="32:37" ht="20" customHeight="1" x14ac:dyDescent="0.2">
      <c r="AF60">
        <v>58</v>
      </c>
      <c r="AG60" s="2">
        <f t="shared" si="8"/>
        <v>3.4482758620689653</v>
      </c>
      <c r="AH60" s="2">
        <f t="shared" si="5"/>
        <v>8.6206896551724146</v>
      </c>
      <c r="AI60" s="2">
        <f t="shared" si="6"/>
        <v>3.4482758620689653</v>
      </c>
      <c r="AJ60" s="2">
        <f t="shared" si="7"/>
        <v>5.5172413793103452</v>
      </c>
      <c r="AK60" s="36">
        <f t="shared" si="4"/>
        <v>-17</v>
      </c>
    </row>
    <row r="61" spans="32:37" ht="20" customHeight="1" x14ac:dyDescent="0.2">
      <c r="AF61">
        <v>59</v>
      </c>
      <c r="AG61" s="2">
        <f t="shared" si="8"/>
        <v>3.3898305084745761</v>
      </c>
      <c r="AH61" s="2">
        <f t="shared" si="5"/>
        <v>8.4745762711864412</v>
      </c>
      <c r="AI61" s="2">
        <f t="shared" si="6"/>
        <v>3.3898305084745761</v>
      </c>
      <c r="AJ61" s="2">
        <f t="shared" si="7"/>
        <v>5.4237288135593218</v>
      </c>
      <c r="AK61" s="36">
        <f t="shared" si="4"/>
        <v>-18</v>
      </c>
    </row>
    <row r="62" spans="32:37" ht="20" customHeight="1" x14ac:dyDescent="0.2">
      <c r="AF62">
        <v>60</v>
      </c>
      <c r="AG62" s="2">
        <f t="shared" si="8"/>
        <v>3.3333333333333335</v>
      </c>
      <c r="AH62" s="2">
        <f t="shared" si="5"/>
        <v>8.3333333333333339</v>
      </c>
      <c r="AI62" s="2">
        <f t="shared" si="6"/>
        <v>3.3333333333333335</v>
      </c>
      <c r="AJ62" s="2">
        <f t="shared" si="7"/>
        <v>5.333333333333333</v>
      </c>
      <c r="AK62" s="36">
        <f t="shared" si="4"/>
        <v>-19</v>
      </c>
    </row>
    <row r="63" spans="32:37" ht="20" customHeight="1" x14ac:dyDescent="0.2">
      <c r="AF63">
        <v>61</v>
      </c>
      <c r="AG63" s="2">
        <f t="shared" si="8"/>
        <v>3.278688524590164</v>
      </c>
      <c r="AH63" s="2">
        <f t="shared" si="5"/>
        <v>8.1967213114754092</v>
      </c>
      <c r="AI63" s="2">
        <f t="shared" si="6"/>
        <v>3.278688524590164</v>
      </c>
      <c r="AJ63" s="2">
        <f t="shared" si="7"/>
        <v>5.2459016393442619</v>
      </c>
      <c r="AK63" s="36">
        <f t="shared" si="4"/>
        <v>-20</v>
      </c>
    </row>
    <row r="64" spans="32:37" ht="20" customHeight="1" x14ac:dyDescent="0.2">
      <c r="AF64">
        <v>62</v>
      </c>
      <c r="AG64" s="2">
        <f t="shared" si="8"/>
        <v>3.225806451612903</v>
      </c>
      <c r="AH64" s="2">
        <f t="shared" si="5"/>
        <v>8.064516129032258</v>
      </c>
      <c r="AI64" s="2">
        <f t="shared" si="6"/>
        <v>3.225806451612903</v>
      </c>
      <c r="AJ64" s="2">
        <f t="shared" si="7"/>
        <v>5.161290322580645</v>
      </c>
      <c r="AK64" s="36">
        <f t="shared" si="4"/>
        <v>-21</v>
      </c>
    </row>
    <row r="65" spans="32:37" ht="20" customHeight="1" x14ac:dyDescent="0.2">
      <c r="AF65">
        <v>63</v>
      </c>
      <c r="AG65" s="2">
        <f t="shared" si="8"/>
        <v>3.1746031746031744</v>
      </c>
      <c r="AH65" s="2">
        <f t="shared" si="5"/>
        <v>7.9365079365079367</v>
      </c>
      <c r="AI65" s="2">
        <f t="shared" si="6"/>
        <v>3.1746031746031744</v>
      </c>
      <c r="AJ65" s="2">
        <f t="shared" si="7"/>
        <v>5.0793650793650791</v>
      </c>
      <c r="AK65" s="36">
        <f t="shared" si="4"/>
        <v>-22</v>
      </c>
    </row>
    <row r="66" spans="32:37" ht="20" customHeight="1" x14ac:dyDescent="0.2">
      <c r="AF66">
        <v>64</v>
      </c>
      <c r="AG66" s="2">
        <f t="shared" si="8"/>
        <v>3.125</v>
      </c>
      <c r="AH66" s="2">
        <f t="shared" si="5"/>
        <v>7.8125</v>
      </c>
      <c r="AI66" s="2">
        <f t="shared" si="6"/>
        <v>3.125</v>
      </c>
      <c r="AJ66" s="2">
        <f t="shared" si="7"/>
        <v>5</v>
      </c>
      <c r="AK66" s="36">
        <f t="shared" si="4"/>
        <v>-23</v>
      </c>
    </row>
    <row r="67" spans="32:37" ht="20" customHeight="1" x14ac:dyDescent="0.2">
      <c r="AF67">
        <v>65</v>
      </c>
      <c r="AG67" s="2">
        <f t="shared" ref="AG67:AG82" si="9">UHA/AF$3:AF$65536</f>
        <v>3.0769230769230771</v>
      </c>
      <c r="AH67" s="2">
        <f t="shared" si="5"/>
        <v>7.6923076923076925</v>
      </c>
      <c r="AI67" s="2">
        <f t="shared" si="6"/>
        <v>3.0769230769230771</v>
      </c>
      <c r="AJ67" s="2">
        <f t="shared" si="7"/>
        <v>4.9230769230769234</v>
      </c>
      <c r="AK67" s="36">
        <f t="shared" si="4"/>
        <v>-24</v>
      </c>
    </row>
    <row r="68" spans="32:37" ht="20" customHeight="1" x14ac:dyDescent="0.2">
      <c r="AF68">
        <v>66</v>
      </c>
      <c r="AG68" s="2">
        <f t="shared" si="9"/>
        <v>3.0303030303030303</v>
      </c>
      <c r="AH68" s="2">
        <f t="shared" si="5"/>
        <v>7.5757575757575761</v>
      </c>
      <c r="AI68" s="2">
        <f t="shared" si="6"/>
        <v>3.0303030303030303</v>
      </c>
      <c r="AJ68" s="2">
        <f t="shared" si="7"/>
        <v>4.8484848484848486</v>
      </c>
      <c r="AK68" s="36">
        <f t="shared" si="4"/>
        <v>-25</v>
      </c>
    </row>
    <row r="69" spans="32:37" ht="20" customHeight="1" x14ac:dyDescent="0.2">
      <c r="AF69">
        <v>67</v>
      </c>
      <c r="AG69" s="2">
        <f t="shared" si="9"/>
        <v>2.9850746268656718</v>
      </c>
      <c r="AH69" s="2">
        <f t="shared" si="5"/>
        <v>7.4626865671641793</v>
      </c>
      <c r="AI69" s="2">
        <f t="shared" si="6"/>
        <v>2.9850746268656718</v>
      </c>
      <c r="AJ69" s="2">
        <f t="shared" si="7"/>
        <v>4.7761194029850742</v>
      </c>
      <c r="AK69" s="36">
        <f t="shared" ref="AK69:AK82" si="10">AK68-1</f>
        <v>-26</v>
      </c>
    </row>
    <row r="70" spans="32:37" ht="20" customHeight="1" x14ac:dyDescent="0.2">
      <c r="AF70">
        <v>68</v>
      </c>
      <c r="AG70" s="2">
        <f t="shared" si="9"/>
        <v>2.9411764705882355</v>
      </c>
      <c r="AH70" s="2">
        <f t="shared" si="5"/>
        <v>7.3529411764705879</v>
      </c>
      <c r="AI70" s="2">
        <f t="shared" si="6"/>
        <v>2.9411764705882355</v>
      </c>
      <c r="AJ70" s="2">
        <f t="shared" si="7"/>
        <v>4.7058823529411766</v>
      </c>
      <c r="AK70" s="36">
        <f t="shared" si="10"/>
        <v>-27</v>
      </c>
    </row>
    <row r="71" spans="32:37" ht="20" customHeight="1" x14ac:dyDescent="0.2">
      <c r="AF71">
        <v>69</v>
      </c>
      <c r="AG71" s="2">
        <f t="shared" si="9"/>
        <v>2.8985507246376812</v>
      </c>
      <c r="AH71" s="2">
        <f t="shared" si="5"/>
        <v>7.2463768115942031</v>
      </c>
      <c r="AI71" s="2">
        <f t="shared" si="6"/>
        <v>2.8985507246376812</v>
      </c>
      <c r="AJ71" s="2">
        <f t="shared" si="7"/>
        <v>4.63768115942029</v>
      </c>
      <c r="AK71" s="36">
        <f t="shared" si="10"/>
        <v>-28</v>
      </c>
    </row>
    <row r="72" spans="32:37" ht="20" customHeight="1" x14ac:dyDescent="0.2">
      <c r="AF72">
        <v>70</v>
      </c>
      <c r="AG72" s="2">
        <f t="shared" si="9"/>
        <v>2.8571428571428572</v>
      </c>
      <c r="AH72" s="2">
        <f t="shared" si="5"/>
        <v>7.1428571428571432</v>
      </c>
      <c r="AI72" s="2">
        <f t="shared" si="6"/>
        <v>2.8571428571428572</v>
      </c>
      <c r="AJ72" s="2">
        <f t="shared" si="7"/>
        <v>4.5714285714285712</v>
      </c>
      <c r="AK72" s="36">
        <f t="shared" si="10"/>
        <v>-29</v>
      </c>
    </row>
    <row r="73" spans="32:37" ht="20" customHeight="1" x14ac:dyDescent="0.2">
      <c r="AF73">
        <v>71</v>
      </c>
      <c r="AG73" s="2">
        <f t="shared" si="9"/>
        <v>2.816901408450704</v>
      </c>
      <c r="AH73" s="2">
        <f t="shared" si="5"/>
        <v>7.042253521126761</v>
      </c>
      <c r="AI73" s="2">
        <f t="shared" si="6"/>
        <v>2.816901408450704</v>
      </c>
      <c r="AJ73" s="2">
        <f t="shared" si="7"/>
        <v>4.507042253521127</v>
      </c>
      <c r="AK73" s="36">
        <f t="shared" si="10"/>
        <v>-30</v>
      </c>
    </row>
    <row r="74" spans="32:37" ht="20" customHeight="1" x14ac:dyDescent="0.2">
      <c r="AF74">
        <v>72</v>
      </c>
      <c r="AG74" s="2">
        <f t="shared" si="9"/>
        <v>2.7777777777777777</v>
      </c>
      <c r="AH74" s="2">
        <f t="shared" si="5"/>
        <v>6.9444444444444446</v>
      </c>
      <c r="AI74" s="2">
        <f t="shared" si="6"/>
        <v>2.7777777777777777</v>
      </c>
      <c r="AJ74" s="2">
        <f t="shared" si="7"/>
        <v>4.4444444444444446</v>
      </c>
      <c r="AK74" s="36">
        <f t="shared" si="10"/>
        <v>-31</v>
      </c>
    </row>
    <row r="75" spans="32:37" ht="20" customHeight="1" x14ac:dyDescent="0.2">
      <c r="AF75">
        <v>73</v>
      </c>
      <c r="AG75" s="2">
        <f t="shared" si="9"/>
        <v>2.7397260273972601</v>
      </c>
      <c r="AH75" s="2">
        <f t="shared" si="5"/>
        <v>6.8493150684931505</v>
      </c>
      <c r="AI75" s="2">
        <f t="shared" si="6"/>
        <v>2.7397260273972601</v>
      </c>
      <c r="AJ75" s="2">
        <f t="shared" si="7"/>
        <v>4.3835616438356162</v>
      </c>
      <c r="AK75" s="36">
        <f t="shared" si="10"/>
        <v>-32</v>
      </c>
    </row>
    <row r="76" spans="32:37" ht="20" customHeight="1" x14ac:dyDescent="0.2">
      <c r="AF76">
        <v>74</v>
      </c>
      <c r="AG76" s="2">
        <f t="shared" si="9"/>
        <v>2.7027027027027026</v>
      </c>
      <c r="AH76" s="2">
        <f t="shared" si="5"/>
        <v>6.756756756756757</v>
      </c>
      <c r="AI76" s="2">
        <f t="shared" si="6"/>
        <v>2.7027027027027026</v>
      </c>
      <c r="AJ76" s="2">
        <f t="shared" si="7"/>
        <v>4.3243243243243246</v>
      </c>
      <c r="AK76" s="36">
        <f t="shared" si="10"/>
        <v>-33</v>
      </c>
    </row>
    <row r="77" spans="32:37" ht="20" customHeight="1" x14ac:dyDescent="0.2">
      <c r="AF77">
        <v>75</v>
      </c>
      <c r="AG77" s="2">
        <f t="shared" si="9"/>
        <v>2.6666666666666665</v>
      </c>
      <c r="AH77" s="2">
        <f t="shared" si="5"/>
        <v>6.666666666666667</v>
      </c>
      <c r="AI77" s="2">
        <f t="shared" si="6"/>
        <v>2.6666666666666665</v>
      </c>
      <c r="AJ77" s="2">
        <f t="shared" si="7"/>
        <v>4.2666666666666666</v>
      </c>
      <c r="AK77" s="36">
        <f t="shared" si="10"/>
        <v>-34</v>
      </c>
    </row>
    <row r="78" spans="32:37" ht="20" customHeight="1" x14ac:dyDescent="0.2">
      <c r="AF78">
        <v>76</v>
      </c>
      <c r="AG78" s="2">
        <f t="shared" si="9"/>
        <v>2.6315789473684212</v>
      </c>
      <c r="AH78" s="2">
        <f t="shared" si="5"/>
        <v>6.5789473684210522</v>
      </c>
      <c r="AI78" s="2">
        <f t="shared" si="6"/>
        <v>2.6315789473684212</v>
      </c>
      <c r="AJ78" s="2">
        <f t="shared" si="7"/>
        <v>4.2105263157894735</v>
      </c>
      <c r="AK78" s="36">
        <f t="shared" si="10"/>
        <v>-35</v>
      </c>
    </row>
    <row r="79" spans="32:37" ht="20" customHeight="1" x14ac:dyDescent="0.2">
      <c r="AF79">
        <v>77</v>
      </c>
      <c r="AG79" s="2">
        <f t="shared" si="9"/>
        <v>2.5974025974025974</v>
      </c>
      <c r="AH79" s="2">
        <f t="shared" si="5"/>
        <v>6.4935064935064934</v>
      </c>
      <c r="AI79" s="2">
        <f t="shared" si="6"/>
        <v>2.5974025974025974</v>
      </c>
      <c r="AJ79" s="2">
        <f t="shared" si="7"/>
        <v>4.1558441558441555</v>
      </c>
      <c r="AK79" s="36">
        <f t="shared" si="10"/>
        <v>-36</v>
      </c>
    </row>
    <row r="80" spans="32:37" ht="20" customHeight="1" x14ac:dyDescent="0.2">
      <c r="AF80">
        <v>78</v>
      </c>
      <c r="AG80" s="2">
        <f t="shared" si="9"/>
        <v>2.5641025641025643</v>
      </c>
      <c r="AH80" s="2">
        <f t="shared" si="5"/>
        <v>6.4102564102564106</v>
      </c>
      <c r="AI80" s="2">
        <f t="shared" si="6"/>
        <v>2.5641025641025643</v>
      </c>
      <c r="AJ80" s="2">
        <f t="shared" si="7"/>
        <v>4.1025641025641022</v>
      </c>
      <c r="AK80" s="36">
        <f t="shared" si="10"/>
        <v>-37</v>
      </c>
    </row>
    <row r="81" spans="32:37" ht="20" customHeight="1" x14ac:dyDescent="0.2">
      <c r="AF81">
        <v>79</v>
      </c>
      <c r="AG81" s="2">
        <f t="shared" si="9"/>
        <v>2.5316455696202533</v>
      </c>
      <c r="AH81" s="2">
        <f t="shared" si="5"/>
        <v>6.3291139240506329</v>
      </c>
      <c r="AI81" s="2">
        <f t="shared" si="6"/>
        <v>2.5316455696202533</v>
      </c>
      <c r="AJ81" s="2">
        <f t="shared" si="7"/>
        <v>4.0506329113924053</v>
      </c>
      <c r="AK81" s="36">
        <f t="shared" si="10"/>
        <v>-38</v>
      </c>
    </row>
    <row r="82" spans="32:37" ht="20" customHeight="1" x14ac:dyDescent="0.2">
      <c r="AF82">
        <v>80</v>
      </c>
      <c r="AG82" s="2">
        <f t="shared" si="9"/>
        <v>2.5</v>
      </c>
      <c r="AH82" s="2">
        <f t="shared" si="5"/>
        <v>6.25</v>
      </c>
      <c r="AI82" s="2">
        <f t="shared" si="6"/>
        <v>2.5</v>
      </c>
      <c r="AJ82" s="2">
        <f t="shared" si="7"/>
        <v>4</v>
      </c>
      <c r="AK82" s="36">
        <f t="shared" si="10"/>
        <v>-39</v>
      </c>
    </row>
    <row r="65536" spans="1:1" ht="20" customHeight="1" x14ac:dyDescent="0.2">
      <c r="A65536" s="37" t="s">
        <v>82</v>
      </c>
    </row>
  </sheetData>
  <mergeCells count="2">
    <mergeCell ref="D4:E4"/>
    <mergeCell ref="A4:C4"/>
  </mergeCells>
  <phoneticPr fontId="6" type="noConversion"/>
  <hyperlinks>
    <hyperlink ref="N20" location="Questions!A1" display="Questions"/>
    <hyperlink ref="N19" location="'Basic Model'!A1" display="Basic Model"/>
  </hyperlinks>
  <pageMargins left="0.7" right="0.7" top="0.75" bottom="0.75" header="0.5" footer="0.5"/>
  <pageSetup paperSize="9" orientation="portrait" horizontalDpi="1200" verticalDpi="12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defaultSize="0" autoPict="0">
                <anchor moveWithCells="1" sizeWithCells="1">
                  <from>
                    <xdr:col>4</xdr:col>
                    <xdr:colOff>12700</xdr:colOff>
                    <xdr:row>11</xdr:row>
                    <xdr:rowOff>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2" r:id="rId4" name="Spinner 8">
              <controlPr defaultSize="0" autoPict="0">
                <anchor moveWithCells="1" sizeWithCells="1">
                  <from>
                    <xdr:col>5</xdr:col>
                    <xdr:colOff>25400</xdr:colOff>
                    <xdr:row>8</xdr:row>
                    <xdr:rowOff>0</xdr:rowOff>
                  </from>
                  <to>
                    <xdr:col>5</xdr:col>
                    <xdr:colOff>431800</xdr:colOff>
                    <xdr:row>10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1:R3"/>
  <sheetViews>
    <sheetView zoomScale="50" workbookViewId="0">
      <selection activeCell="U15" sqref="U15"/>
    </sheetView>
  </sheetViews>
  <sheetFormatPr baseColWidth="10" defaultColWidth="9" defaultRowHeight="18" x14ac:dyDescent="0.2"/>
  <cols>
    <col min="1" max="1" width="21" customWidth="1"/>
  </cols>
  <sheetData>
    <row r="1" spans="18:18" x14ac:dyDescent="0.2">
      <c r="R1" s="44" t="s">
        <v>87</v>
      </c>
    </row>
    <row r="2" spans="18:18" x14ac:dyDescent="0.2">
      <c r="R2" s="44" t="s">
        <v>89</v>
      </c>
    </row>
    <row r="3" spans="18:18" x14ac:dyDescent="0.2">
      <c r="R3" s="44" t="s">
        <v>115</v>
      </c>
    </row>
  </sheetData>
  <phoneticPr fontId="6" type="noConversion"/>
  <hyperlinks>
    <hyperlink ref="R3" location="Questions!A1" display="Question"/>
    <hyperlink ref="R2" location="'Trade Equilibrium'!A1" display="Trade Equilibrium"/>
    <hyperlink ref="R1" location="'Basic Model'!A1" display="Basic Model"/>
  </hyperlinks>
  <pageMargins left="0.7" right="0.7" top="0.75" bottom="0.75" header="0.5" footer="0.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showGridLines="0" showRowColHeaders="0" zoomScale="70" workbookViewId="0">
      <selection activeCell="A2" sqref="A2"/>
    </sheetView>
  </sheetViews>
  <sheetFormatPr baseColWidth="10" defaultColWidth="9.3984375" defaultRowHeight="21" x14ac:dyDescent="0.25"/>
  <cols>
    <col min="1" max="1" width="18.3984375" style="38" customWidth="1"/>
    <col min="2" max="2" width="5.59765625" style="38" customWidth="1"/>
    <col min="3" max="16384" width="9.3984375" style="38"/>
  </cols>
  <sheetData>
    <row r="1" spans="1:4" ht="23" x14ac:dyDescent="0.25">
      <c r="A1" s="39" t="s">
        <v>88</v>
      </c>
      <c r="B1" s="46" t="s">
        <v>114</v>
      </c>
      <c r="C1" s="46"/>
      <c r="D1" s="39"/>
    </row>
    <row r="2" spans="1:4" ht="27" x14ac:dyDescent="0.35">
      <c r="A2" s="44" t="s">
        <v>87</v>
      </c>
      <c r="B2" s="46"/>
      <c r="C2" s="47" t="s">
        <v>117</v>
      </c>
      <c r="D2" s="39"/>
    </row>
    <row r="3" spans="1:4" ht="23" x14ac:dyDescent="0.25">
      <c r="A3" s="52" t="s">
        <v>0</v>
      </c>
      <c r="B3" s="46"/>
      <c r="C3" s="46" t="s">
        <v>121</v>
      </c>
      <c r="D3" s="39"/>
    </row>
    <row r="4" spans="1:4" ht="27" x14ac:dyDescent="0.35">
      <c r="B4" s="46"/>
      <c r="C4" s="46" t="s">
        <v>118</v>
      </c>
      <c r="D4" s="39"/>
    </row>
    <row r="5" spans="1:4" ht="23" x14ac:dyDescent="0.25">
      <c r="B5" s="46"/>
      <c r="C5" s="48" t="s">
        <v>120</v>
      </c>
      <c r="D5" s="39"/>
    </row>
    <row r="6" spans="1:4" ht="23" x14ac:dyDescent="0.25">
      <c r="B6" s="46"/>
      <c r="C6" s="48" t="s">
        <v>123</v>
      </c>
      <c r="D6" s="39"/>
    </row>
    <row r="7" spans="1:4" ht="27" x14ac:dyDescent="0.35">
      <c r="B7" s="49"/>
      <c r="C7" s="46" t="s">
        <v>119</v>
      </c>
    </row>
    <row r="8" spans="1:4" ht="23" x14ac:dyDescent="0.25">
      <c r="B8" s="49"/>
      <c r="C8" s="48" t="s">
        <v>120</v>
      </c>
    </row>
    <row r="9" spans="1:4" ht="23" x14ac:dyDescent="0.25">
      <c r="B9" s="49"/>
      <c r="C9" s="50" t="s">
        <v>126</v>
      </c>
    </row>
    <row r="10" spans="1:4" ht="23" x14ac:dyDescent="0.25">
      <c r="B10" s="49"/>
      <c r="C10" s="48" t="s">
        <v>127</v>
      </c>
    </row>
    <row r="11" spans="1:4" ht="37" x14ac:dyDescent="0.25">
      <c r="A11" s="51" t="s">
        <v>90</v>
      </c>
      <c r="B11" s="46" t="s">
        <v>116</v>
      </c>
      <c r="C11" s="49"/>
    </row>
    <row r="12" spans="1:4" ht="27" x14ac:dyDescent="0.35">
      <c r="B12" s="49"/>
      <c r="C12" s="47" t="s">
        <v>129</v>
      </c>
    </row>
    <row r="13" spans="1:4" ht="23" x14ac:dyDescent="0.25">
      <c r="B13" s="49"/>
      <c r="C13" s="46" t="s">
        <v>128</v>
      </c>
    </row>
    <row r="14" spans="1:4" ht="27" x14ac:dyDescent="0.35">
      <c r="B14" s="49"/>
      <c r="C14" s="46" t="s">
        <v>131</v>
      </c>
    </row>
    <row r="15" spans="1:4" ht="23" x14ac:dyDescent="0.25">
      <c r="B15" s="49"/>
      <c r="C15" s="48" t="s">
        <v>130</v>
      </c>
    </row>
    <row r="16" spans="1:4" ht="23" x14ac:dyDescent="0.25">
      <c r="B16" s="49"/>
      <c r="C16" s="46" t="s">
        <v>132</v>
      </c>
    </row>
    <row r="17" spans="1:3" ht="23" x14ac:dyDescent="0.25">
      <c r="B17" s="49"/>
      <c r="C17" s="48" t="s">
        <v>133</v>
      </c>
    </row>
    <row r="18" spans="1:3" ht="23" x14ac:dyDescent="0.25">
      <c r="B18" s="49"/>
      <c r="C18" s="46" t="s">
        <v>134</v>
      </c>
    </row>
    <row r="19" spans="1:3" ht="23" x14ac:dyDescent="0.25">
      <c r="A19" s="52" t="s">
        <v>1</v>
      </c>
      <c r="B19" s="49"/>
      <c r="C19" s="48" t="s">
        <v>135</v>
      </c>
    </row>
    <row r="20" spans="1:3" ht="23" x14ac:dyDescent="0.25">
      <c r="B20" s="49"/>
      <c r="C20" s="49"/>
    </row>
    <row r="21" spans="1:3" ht="23" x14ac:dyDescent="0.25">
      <c r="B21" s="49"/>
      <c r="C21" s="49"/>
    </row>
  </sheetData>
  <phoneticPr fontId="6" type="noConversion"/>
  <hyperlinks>
    <hyperlink ref="A2" location="'Basic Model'!A1" display="Basic Model"/>
    <hyperlink ref="A11" location="'Trade Equilibrium'!A1" display="Trade Equilibrium Model"/>
    <hyperlink ref="A19" location="Questions!A1" display="Top"/>
    <hyperlink ref="A3" location="Questions!A19" display="Bottom"/>
  </hyperlinks>
  <pageMargins left="0.7" right="0.7" top="0.75" bottom="0.75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Basic Model</vt:lpstr>
      <vt:lpstr>Trade Equilibrium</vt:lpstr>
      <vt:lpstr>Explanation</vt:lpstr>
      <vt:lpstr>Questions</vt:lpstr>
    </vt:vector>
  </TitlesOfParts>
  <Company>Econ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Chayun Tantivasadakarn</dc:creator>
  <cp:lastModifiedBy>Microsoft Office User</cp:lastModifiedBy>
  <dcterms:created xsi:type="dcterms:W3CDTF">2006-11-22T15:54:13Z</dcterms:created>
  <dcterms:modified xsi:type="dcterms:W3CDTF">2017-08-19T16:26:25Z</dcterms:modified>
</cp:coreProperties>
</file>