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 Thana-ek\Documents\EE532\"/>
    </mc:Choice>
  </mc:AlternateContent>
  <xr:revisionPtr revIDLastSave="0" documentId="13_ncr:1_{123D19D7-A0D4-4A7B-A99A-C9C52F1710BA}" xr6:coauthVersionLast="45" xr6:coauthVersionMax="45" xr10:uidLastSave="{00000000-0000-0000-0000-000000000000}"/>
  <bookViews>
    <workbookView xWindow="-120" yWindow="-120" windowWidth="29040" windowHeight="16440" activeTab="5" xr2:uid="{EB422F44-833E-4568-A5DD-55DDD5A77650}"/>
  </bookViews>
  <sheets>
    <sheet name="Step" sheetId="6" r:id="rId1"/>
    <sheet name="Assumptions" sheetId="2" r:id="rId2"/>
    <sheet name="FS" sheetId="1" r:id="rId3"/>
    <sheet name="PPE" sheetId="3" r:id="rId4"/>
    <sheet name="Debt Schedule" sheetId="4" r:id="rId5"/>
    <sheet name="DCF" sheetId="5" r:id="rId6"/>
    <sheet name="Sensitivity Analysis" sheetId="7" r:id="rId7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" i="5" l="1"/>
  <c r="J11" i="5"/>
  <c r="K11" i="5"/>
  <c r="L11" i="5"/>
  <c r="M11" i="5"/>
  <c r="I8" i="5"/>
  <c r="J8" i="5"/>
  <c r="K8" i="5"/>
  <c r="L8" i="5"/>
  <c r="M8" i="5"/>
  <c r="I9" i="5"/>
  <c r="J9" i="5"/>
  <c r="K9" i="5"/>
  <c r="L9" i="5"/>
  <c r="M9" i="5"/>
  <c r="I10" i="5"/>
  <c r="J10" i="5"/>
  <c r="K10" i="5"/>
  <c r="L10" i="5"/>
  <c r="M10" i="5"/>
  <c r="I5" i="5"/>
  <c r="J5" i="5"/>
  <c r="K5" i="5"/>
  <c r="K7" i="5" s="1"/>
  <c r="L5" i="5"/>
  <c r="L7" i="5" s="1"/>
  <c r="M5" i="5"/>
  <c r="I6" i="5"/>
  <c r="J6" i="5"/>
  <c r="K6" i="5"/>
  <c r="L6" i="5"/>
  <c r="M6" i="5"/>
  <c r="I7" i="5"/>
  <c r="J7" i="5"/>
  <c r="M7" i="5"/>
  <c r="G47" i="1"/>
  <c r="H47" i="1"/>
  <c r="I47" i="1"/>
  <c r="J47" i="1"/>
  <c r="K47" i="1"/>
  <c r="H30" i="4" l="1"/>
  <c r="G34" i="4"/>
  <c r="G33" i="4"/>
  <c r="G35" i="4" s="1"/>
  <c r="H33" i="4"/>
  <c r="G32" i="4"/>
  <c r="G31" i="4"/>
  <c r="J2" i="5"/>
  <c r="K2" i="5" s="1"/>
  <c r="L2" i="5" s="1"/>
  <c r="M2" i="5" s="1"/>
  <c r="L3" i="3"/>
  <c r="M3" i="3"/>
  <c r="N3" i="3" s="1"/>
  <c r="O3" i="3" s="1"/>
  <c r="G9" i="2"/>
  <c r="H9" i="2" s="1"/>
  <c r="I9" i="2" s="1"/>
  <c r="J9" i="2" s="1"/>
  <c r="K9" i="2" s="1"/>
  <c r="K7" i="2" s="1"/>
  <c r="F10" i="2"/>
  <c r="E10" i="2"/>
  <c r="H45" i="5" l="1"/>
  <c r="H52" i="5" s="1"/>
  <c r="G36" i="4"/>
  <c r="F17" i="4"/>
  <c r="G17" i="4" s="1"/>
  <c r="H17" i="4" s="1"/>
  <c r="E17" i="4"/>
  <c r="I30" i="4"/>
  <c r="J30" i="4" s="1"/>
  <c r="K30" i="4" s="1"/>
  <c r="I47" i="4"/>
  <c r="J47" i="4"/>
  <c r="K47" i="4"/>
  <c r="H47" i="4"/>
  <c r="I48" i="4"/>
  <c r="J48" i="4"/>
  <c r="K48" i="4"/>
  <c r="H48" i="4"/>
  <c r="J43" i="4"/>
  <c r="K43" i="4" s="1"/>
  <c r="I43" i="4"/>
  <c r="I6" i="4"/>
  <c r="J6" i="4"/>
  <c r="K6" i="4"/>
  <c r="H45" i="4"/>
  <c r="H44" i="4"/>
  <c r="I20" i="5"/>
  <c r="I21" i="5"/>
  <c r="H50" i="5" l="1"/>
  <c r="H51" i="5"/>
  <c r="H57" i="5" s="1"/>
  <c r="H31" i="4"/>
  <c r="H5" i="4" s="1"/>
  <c r="I45" i="5"/>
  <c r="I50" i="5" s="1"/>
  <c r="H34" i="4"/>
  <c r="H8" i="4" s="1"/>
  <c r="H49" i="4"/>
  <c r="H22" i="7"/>
  <c r="J22" i="7"/>
  <c r="K22" i="7"/>
  <c r="L22" i="7" s="1"/>
  <c r="G22" i="7"/>
  <c r="E24" i="7"/>
  <c r="E25" i="7" s="1"/>
  <c r="E26" i="7" s="1"/>
  <c r="E27" i="7" s="1"/>
  <c r="E28" i="7" s="1"/>
  <c r="E29" i="7" s="1"/>
  <c r="E30" i="7" s="1"/>
  <c r="E31" i="7" s="1"/>
  <c r="E32" i="7" s="1"/>
  <c r="E33" i="7" s="1"/>
  <c r="C17" i="5"/>
  <c r="E8" i="7"/>
  <c r="E9" i="7" s="1"/>
  <c r="E10" i="7" s="1"/>
  <c r="E11" i="7" s="1"/>
  <c r="E12" i="7" s="1"/>
  <c r="E13" i="7" s="1"/>
  <c r="E14" i="7" s="1"/>
  <c r="E15" i="7" s="1"/>
  <c r="E16" i="7" s="1"/>
  <c r="E17" i="7" s="1"/>
  <c r="G6" i="7"/>
  <c r="H6" i="7" s="1"/>
  <c r="J6" i="7" s="1"/>
  <c r="K6" i="7" s="1"/>
  <c r="L6" i="7" s="1"/>
  <c r="B11" i="6"/>
  <c r="B10" i="6"/>
  <c r="B9" i="6"/>
  <c r="B7" i="6"/>
  <c r="B8" i="6" s="1"/>
  <c r="H6" i="4"/>
  <c r="H7" i="4"/>
  <c r="I33" i="4"/>
  <c r="I7" i="4" s="1"/>
  <c r="J33" i="4"/>
  <c r="J7" i="4" s="1"/>
  <c r="K33" i="4"/>
  <c r="K7" i="4" s="1"/>
  <c r="B5" i="6"/>
  <c r="B6" i="6" s="1"/>
  <c r="B4" i="6"/>
  <c r="I51" i="5" l="1"/>
  <c r="I52" i="5"/>
  <c r="I57" i="5" s="1"/>
  <c r="I44" i="4"/>
  <c r="I49" i="4" s="1"/>
  <c r="H35" i="4"/>
  <c r="D62" i="2"/>
  <c r="D5" i="3"/>
  <c r="D18" i="3"/>
  <c r="D4" i="3" s="1"/>
  <c r="G6" i="4"/>
  <c r="F6" i="4"/>
  <c r="E6" i="4"/>
  <c r="D5" i="4"/>
  <c r="D21" i="4"/>
  <c r="D8" i="4" s="1"/>
  <c r="D19" i="4"/>
  <c r="D6" i="4" s="1"/>
  <c r="D77" i="1"/>
  <c r="F43" i="3"/>
  <c r="F45" i="3" s="1"/>
  <c r="E35" i="3"/>
  <c r="E37" i="3" s="1"/>
  <c r="D27" i="3"/>
  <c r="F5" i="3" l="1"/>
  <c r="E5" i="3"/>
  <c r="E12" i="3" s="1"/>
  <c r="D12" i="3"/>
  <c r="H36" i="4"/>
  <c r="H9" i="4"/>
  <c r="J44" i="4"/>
  <c r="F12" i="3"/>
  <c r="D29" i="3"/>
  <c r="I34" i="4" l="1"/>
  <c r="I35" i="4" s="1"/>
  <c r="I31" i="4"/>
  <c r="I5" i="4" s="1"/>
  <c r="H10" i="4"/>
  <c r="H42" i="1" s="1"/>
  <c r="J49" i="4"/>
  <c r="C39" i="5"/>
  <c r="C38" i="5" s="1"/>
  <c r="J3" i="5"/>
  <c r="K3" i="5" s="1"/>
  <c r="L3" i="5" s="1"/>
  <c r="M3" i="5" s="1"/>
  <c r="E56" i="1"/>
  <c r="F56" i="1" s="1"/>
  <c r="G56" i="1" s="1"/>
  <c r="H56" i="1" s="1"/>
  <c r="I56" i="1" s="1"/>
  <c r="J56" i="1" s="1"/>
  <c r="K56" i="1" s="1"/>
  <c r="D49" i="2"/>
  <c r="E49" i="2"/>
  <c r="F49" i="2"/>
  <c r="E2" i="4"/>
  <c r="F2" i="4" s="1"/>
  <c r="G2" i="4" s="1"/>
  <c r="H2" i="4" s="1"/>
  <c r="I2" i="4" s="1"/>
  <c r="J2" i="4" s="1"/>
  <c r="K2" i="4" s="1"/>
  <c r="E3" i="3"/>
  <c r="F3" i="3" s="1"/>
  <c r="G3" i="3" s="1"/>
  <c r="H3" i="3" s="1"/>
  <c r="I3" i="3" s="1"/>
  <c r="J3" i="3" s="1"/>
  <c r="K3" i="3" s="1"/>
  <c r="H20" i="4"/>
  <c r="G20" i="4"/>
  <c r="G7" i="4" s="1"/>
  <c r="F20" i="4"/>
  <c r="F7" i="4" s="1"/>
  <c r="E20" i="4"/>
  <c r="E7" i="4" s="1"/>
  <c r="D20" i="4"/>
  <c r="D7" i="4" s="1"/>
  <c r="C21" i="3"/>
  <c r="H20" i="3"/>
  <c r="G20" i="3"/>
  <c r="F20" i="3"/>
  <c r="E20" i="3"/>
  <c r="D20" i="3"/>
  <c r="D6" i="3" s="1"/>
  <c r="E34" i="2"/>
  <c r="F34" i="2" s="1"/>
  <c r="G34" i="2" s="1"/>
  <c r="H34" i="2" s="1"/>
  <c r="I34" i="2" s="1"/>
  <c r="J34" i="2" s="1"/>
  <c r="K34" i="2" s="1"/>
  <c r="F48" i="2"/>
  <c r="E48" i="2"/>
  <c r="D48" i="2"/>
  <c r="F47" i="2"/>
  <c r="E47" i="2"/>
  <c r="D47" i="2"/>
  <c r="F44" i="2"/>
  <c r="E44" i="2"/>
  <c r="D44" i="2"/>
  <c r="F43" i="2"/>
  <c r="E43" i="2"/>
  <c r="D43" i="2"/>
  <c r="F42" i="2"/>
  <c r="E42" i="2"/>
  <c r="D42" i="2"/>
  <c r="F41" i="2"/>
  <c r="E41" i="2"/>
  <c r="D41" i="2"/>
  <c r="F38" i="2"/>
  <c r="E38" i="2"/>
  <c r="D38" i="2"/>
  <c r="F35" i="2"/>
  <c r="E35" i="2"/>
  <c r="D35" i="2"/>
  <c r="F25" i="1"/>
  <c r="E25" i="1"/>
  <c r="D25" i="1"/>
  <c r="D21" i="1"/>
  <c r="E21" i="1"/>
  <c r="F21" i="1"/>
  <c r="D12" i="2"/>
  <c r="E12" i="2"/>
  <c r="F12" i="2"/>
  <c r="B19" i="2"/>
  <c r="D24" i="2"/>
  <c r="E24" i="2"/>
  <c r="F24" i="2"/>
  <c r="B24" i="2"/>
  <c r="B17" i="2"/>
  <c r="D17" i="2"/>
  <c r="E17" i="2"/>
  <c r="F17" i="2"/>
  <c r="G17" i="2" s="1"/>
  <c r="H17" i="2" s="1"/>
  <c r="B15" i="2"/>
  <c r="D15" i="2"/>
  <c r="E15" i="2"/>
  <c r="F15" i="2"/>
  <c r="D3" i="2"/>
  <c r="E3" i="2"/>
  <c r="F3" i="2"/>
  <c r="E2" i="2"/>
  <c r="F2" i="2" s="1"/>
  <c r="G2" i="2" s="1"/>
  <c r="H2" i="2" s="1"/>
  <c r="I2" i="2" s="1"/>
  <c r="J2" i="2" s="1"/>
  <c r="K2" i="2" s="1"/>
  <c r="E28" i="1"/>
  <c r="F28" i="1" s="1"/>
  <c r="G28" i="1" s="1"/>
  <c r="H28" i="1" s="1"/>
  <c r="I28" i="1" s="1"/>
  <c r="J28" i="1" s="1"/>
  <c r="K28" i="1" s="1"/>
  <c r="E59" i="1"/>
  <c r="E60" i="1"/>
  <c r="F37" i="1"/>
  <c r="F44" i="1"/>
  <c r="E37" i="1"/>
  <c r="D37" i="1"/>
  <c r="D41" i="1"/>
  <c r="F41" i="1"/>
  <c r="E41" i="1"/>
  <c r="D44" i="1"/>
  <c r="E44" i="1"/>
  <c r="E62" i="1"/>
  <c r="F62" i="1"/>
  <c r="E63" i="1"/>
  <c r="F63" i="1"/>
  <c r="E64" i="1"/>
  <c r="F64" i="1"/>
  <c r="E65" i="1"/>
  <c r="F65" i="1"/>
  <c r="F60" i="1"/>
  <c r="F59" i="1"/>
  <c r="D6" i="1"/>
  <c r="D22" i="1" s="1"/>
  <c r="E6" i="1"/>
  <c r="E22" i="1" s="1"/>
  <c r="F6" i="1"/>
  <c r="F22" i="1" s="1"/>
  <c r="E2" i="1"/>
  <c r="F2" i="1" s="1"/>
  <c r="G2" i="1" s="1"/>
  <c r="H2" i="1" s="1"/>
  <c r="I2" i="1" s="1"/>
  <c r="J2" i="1" s="1"/>
  <c r="K2" i="1" s="1"/>
  <c r="H46" i="1" l="1"/>
  <c r="I8" i="4"/>
  <c r="J45" i="5"/>
  <c r="J51" i="5" s="1"/>
  <c r="D11" i="3"/>
  <c r="D13" i="3" s="1"/>
  <c r="F11" i="3"/>
  <c r="F13" i="3" s="1"/>
  <c r="E11" i="3"/>
  <c r="E13" i="3" s="1"/>
  <c r="E51" i="2"/>
  <c r="I36" i="4"/>
  <c r="I9" i="4"/>
  <c r="K44" i="4"/>
  <c r="D51" i="2"/>
  <c r="D52" i="2" s="1"/>
  <c r="F51" i="2"/>
  <c r="D21" i="3"/>
  <c r="D7" i="3" s="1"/>
  <c r="D8" i="3" s="1"/>
  <c r="E7" i="2"/>
  <c r="E11" i="2" s="1"/>
  <c r="D7" i="2"/>
  <c r="D11" i="2" s="1"/>
  <c r="E45" i="2"/>
  <c r="E46" i="2" s="1"/>
  <c r="G46" i="1"/>
  <c r="G35" i="1"/>
  <c r="D22" i="4"/>
  <c r="I28" i="3"/>
  <c r="E28" i="3"/>
  <c r="E6" i="3" s="1"/>
  <c r="F28" i="3"/>
  <c r="F6" i="3" s="1"/>
  <c r="H28" i="3"/>
  <c r="G28" i="3"/>
  <c r="E26" i="3"/>
  <c r="I36" i="3"/>
  <c r="H36" i="3"/>
  <c r="J36" i="3"/>
  <c r="F34" i="3"/>
  <c r="G36" i="3"/>
  <c r="F36" i="3"/>
  <c r="I44" i="3"/>
  <c r="J44" i="3"/>
  <c r="G42" i="3"/>
  <c r="H44" i="3"/>
  <c r="K44" i="3"/>
  <c r="G44" i="3"/>
  <c r="E68" i="1"/>
  <c r="F45" i="2"/>
  <c r="F46" i="2" s="1"/>
  <c r="E39" i="2"/>
  <c r="E40" i="2" s="1"/>
  <c r="F36" i="2"/>
  <c r="F37" i="2" s="1"/>
  <c r="E36" i="2"/>
  <c r="E37" i="2" s="1"/>
  <c r="F39" i="2"/>
  <c r="F40" i="2" s="1"/>
  <c r="D36" i="2"/>
  <c r="D37" i="2" s="1"/>
  <c r="D39" i="2"/>
  <c r="D40" i="2" s="1"/>
  <c r="D45" i="2"/>
  <c r="D46" i="2" s="1"/>
  <c r="F16" i="2"/>
  <c r="F13" i="2"/>
  <c r="F14" i="2" s="1"/>
  <c r="E13" i="2"/>
  <c r="E14" i="2" s="1"/>
  <c r="D13" i="2"/>
  <c r="D14" i="2" s="1"/>
  <c r="I17" i="2"/>
  <c r="H8" i="1"/>
  <c r="G8" i="1"/>
  <c r="G25" i="1" s="1"/>
  <c r="E18" i="2"/>
  <c r="E16" i="2"/>
  <c r="F18" i="2"/>
  <c r="D16" i="2"/>
  <c r="E4" i="2"/>
  <c r="F4" i="2"/>
  <c r="E45" i="1"/>
  <c r="D45" i="1"/>
  <c r="F45" i="1"/>
  <c r="F61" i="1"/>
  <c r="F68" i="1"/>
  <c r="E61" i="1"/>
  <c r="H40" i="1" l="1"/>
  <c r="H32" i="1"/>
  <c r="H43" i="1"/>
  <c r="H44" i="1" s="1"/>
  <c r="H36" i="1"/>
  <c r="H35" i="1"/>
  <c r="I46" i="1"/>
  <c r="K45" i="5"/>
  <c r="K51" i="5" s="1"/>
  <c r="J50" i="5"/>
  <c r="J52" i="5"/>
  <c r="E52" i="2"/>
  <c r="G36" i="1"/>
  <c r="F52" i="2"/>
  <c r="G40" i="1"/>
  <c r="G43" i="1"/>
  <c r="G32" i="1"/>
  <c r="J34" i="4"/>
  <c r="I10" i="4"/>
  <c r="I42" i="1" s="1"/>
  <c r="J31" i="4"/>
  <c r="K49" i="4"/>
  <c r="D9" i="1"/>
  <c r="D19" i="2" s="1"/>
  <c r="D20" i="2" s="1"/>
  <c r="D29" i="2" s="1"/>
  <c r="G45" i="3"/>
  <c r="F37" i="3"/>
  <c r="G34" i="3" s="1"/>
  <c r="E29" i="3"/>
  <c r="F26" i="3" s="1"/>
  <c r="F29" i="3" s="1"/>
  <c r="G26" i="3" s="1"/>
  <c r="E18" i="3"/>
  <c r="E4" i="3" s="1"/>
  <c r="D23" i="4"/>
  <c r="D10" i="4" s="1"/>
  <c r="D9" i="4"/>
  <c r="G5" i="2"/>
  <c r="H5" i="2" s="1"/>
  <c r="H42" i="3"/>
  <c r="H25" i="1"/>
  <c r="J17" i="2"/>
  <c r="I8" i="1"/>
  <c r="I25" i="1" s="1"/>
  <c r="F7" i="2"/>
  <c r="F11" i="2" s="1"/>
  <c r="E8" i="2"/>
  <c r="E58" i="1"/>
  <c r="E9" i="1"/>
  <c r="E19" i="2" s="1"/>
  <c r="E20" i="2" s="1"/>
  <c r="E29" i="2" s="1"/>
  <c r="D11" i="1"/>
  <c r="D22" i="2" s="1"/>
  <c r="I35" i="1" l="1"/>
  <c r="I32" i="1"/>
  <c r="K46" i="1"/>
  <c r="J46" i="1"/>
  <c r="I36" i="1"/>
  <c r="I43" i="1"/>
  <c r="I44" i="1" s="1"/>
  <c r="I40" i="1"/>
  <c r="J57" i="5"/>
  <c r="K52" i="5"/>
  <c r="K50" i="5"/>
  <c r="G7" i="2"/>
  <c r="I5" i="2"/>
  <c r="G36" i="2"/>
  <c r="G45" i="2"/>
  <c r="H36" i="2"/>
  <c r="G39" i="2"/>
  <c r="D17" i="1"/>
  <c r="D30" i="2" s="1"/>
  <c r="D10" i="1"/>
  <c r="D23" i="1" s="1"/>
  <c r="J5" i="4"/>
  <c r="J35" i="4"/>
  <c r="J9" i="4" s="1"/>
  <c r="J8" i="4"/>
  <c r="E21" i="3"/>
  <c r="E7" i="3" s="1"/>
  <c r="H45" i="3"/>
  <c r="I42" i="3" s="1"/>
  <c r="G37" i="3"/>
  <c r="H34" i="3" s="1"/>
  <c r="G29" i="3"/>
  <c r="H26" i="3" s="1"/>
  <c r="H45" i="2"/>
  <c r="D21" i="2"/>
  <c r="E18" i="4"/>
  <c r="E5" i="4" s="1"/>
  <c r="E21" i="4"/>
  <c r="H39" i="2"/>
  <c r="I36" i="2"/>
  <c r="D23" i="2"/>
  <c r="D26" i="2" s="1"/>
  <c r="I39" i="2"/>
  <c r="I45" i="2"/>
  <c r="E21" i="2"/>
  <c r="D31" i="2"/>
  <c r="D32" i="2" s="1"/>
  <c r="K17" i="2"/>
  <c r="K8" i="1" s="1"/>
  <c r="J8" i="1"/>
  <c r="J25" i="1" s="1"/>
  <c r="F8" i="2"/>
  <c r="E10" i="1"/>
  <c r="E23" i="1" s="1"/>
  <c r="E17" i="1"/>
  <c r="E30" i="2" s="1"/>
  <c r="E31" i="2" s="1"/>
  <c r="E32" i="2" s="1"/>
  <c r="F58" i="1"/>
  <c r="F9" i="1"/>
  <c r="F19" i="2" s="1"/>
  <c r="F20" i="2" s="1"/>
  <c r="K40" i="1" l="1"/>
  <c r="J40" i="1"/>
  <c r="K36" i="1"/>
  <c r="J36" i="1"/>
  <c r="K32" i="1"/>
  <c r="J32" i="1"/>
  <c r="K43" i="1"/>
  <c r="J43" i="1"/>
  <c r="K35" i="1"/>
  <c r="J35" i="1"/>
  <c r="K57" i="5"/>
  <c r="D12" i="1"/>
  <c r="H7" i="2"/>
  <c r="G3" i="2"/>
  <c r="G8" i="2"/>
  <c r="J5" i="2"/>
  <c r="D16" i="1"/>
  <c r="D18" i="1" s="1"/>
  <c r="D24" i="1" s="1"/>
  <c r="J36" i="4"/>
  <c r="F18" i="3"/>
  <c r="F4" i="3" s="1"/>
  <c r="E8" i="3"/>
  <c r="E22" i="4"/>
  <c r="E9" i="4" s="1"/>
  <c r="E71" i="1" s="1"/>
  <c r="E8" i="4"/>
  <c r="E23" i="4"/>
  <c r="I45" i="3"/>
  <c r="J42" i="3" s="1"/>
  <c r="H37" i="3"/>
  <c r="I34" i="3" s="1"/>
  <c r="H29" i="3"/>
  <c r="I26" i="3" s="1"/>
  <c r="J36" i="2"/>
  <c r="D25" i="2"/>
  <c r="K39" i="2"/>
  <c r="J39" i="2"/>
  <c r="D27" i="2"/>
  <c r="K45" i="2"/>
  <c r="J45" i="2"/>
  <c r="K25" i="1"/>
  <c r="F29" i="2"/>
  <c r="F21" i="2"/>
  <c r="F10" i="1"/>
  <c r="F23" i="1" s="1"/>
  <c r="F17" i="1"/>
  <c r="F30" i="2" s="1"/>
  <c r="E16" i="1"/>
  <c r="E18" i="1" s="1"/>
  <c r="D14" i="1"/>
  <c r="L45" i="5" l="1"/>
  <c r="L51" i="5" s="1"/>
  <c r="D54" i="1"/>
  <c r="H8" i="2"/>
  <c r="H3" i="2"/>
  <c r="J7" i="2"/>
  <c r="J3" i="2" s="1"/>
  <c r="J11" i="3" s="1"/>
  <c r="J12" i="3" s="1"/>
  <c r="I7" i="2"/>
  <c r="K5" i="2"/>
  <c r="K3" i="2" s="1"/>
  <c r="K34" i="4"/>
  <c r="J10" i="4"/>
  <c r="J42" i="1" s="1"/>
  <c r="J44" i="1" s="1"/>
  <c r="K31" i="4"/>
  <c r="E24" i="1"/>
  <c r="E54" i="1"/>
  <c r="I29" i="3"/>
  <c r="F21" i="3"/>
  <c r="F7" i="3" s="1"/>
  <c r="F18" i="4"/>
  <c r="F5" i="4" s="1"/>
  <c r="E10" i="4"/>
  <c r="F21" i="4"/>
  <c r="J45" i="3"/>
  <c r="K42" i="3" s="1"/>
  <c r="I37" i="3"/>
  <c r="J34" i="3" s="1"/>
  <c r="K36" i="2"/>
  <c r="E59" i="2"/>
  <c r="D26" i="1"/>
  <c r="F31" i="2"/>
  <c r="F32" i="2" s="1"/>
  <c r="F16" i="1"/>
  <c r="F18" i="1" s="1"/>
  <c r="E11" i="1"/>
  <c r="E22" i="2" s="1"/>
  <c r="E23" i="2" s="1"/>
  <c r="K11" i="3" l="1"/>
  <c r="K12" i="3" s="1"/>
  <c r="K4" i="1"/>
  <c r="L52" i="5"/>
  <c r="L50" i="5"/>
  <c r="L57" i="5" s="1"/>
  <c r="I8" i="2"/>
  <c r="I3" i="2"/>
  <c r="I11" i="3" s="1"/>
  <c r="I12" i="3" s="1"/>
  <c r="J8" i="2"/>
  <c r="K8" i="2"/>
  <c r="K5" i="4"/>
  <c r="K35" i="4"/>
  <c r="K9" i="4" s="1"/>
  <c r="K8" i="4"/>
  <c r="F24" i="1"/>
  <c r="F54" i="1"/>
  <c r="G18" i="3"/>
  <c r="G4" i="3" s="1"/>
  <c r="F8" i="3"/>
  <c r="K45" i="3"/>
  <c r="J37" i="3"/>
  <c r="F22" i="4"/>
  <c r="F8" i="4"/>
  <c r="E26" i="2"/>
  <c r="E25" i="2"/>
  <c r="E66" i="1"/>
  <c r="E72" i="1"/>
  <c r="E12" i="1"/>
  <c r="K36" i="4" l="1"/>
  <c r="G21" i="3"/>
  <c r="F23" i="4"/>
  <c r="F9" i="4"/>
  <c r="F71" i="1" s="1"/>
  <c r="E27" i="2"/>
  <c r="E60" i="2"/>
  <c r="E14" i="1"/>
  <c r="E73" i="1" s="1"/>
  <c r="K10" i="4" l="1"/>
  <c r="K42" i="1" s="1"/>
  <c r="K44" i="1" s="1"/>
  <c r="H18" i="3"/>
  <c r="F10" i="4"/>
  <c r="G18" i="4"/>
  <c r="G21" i="4"/>
  <c r="E26" i="1"/>
  <c r="E61" i="2"/>
  <c r="E62" i="2" s="1"/>
  <c r="F59" i="2" s="1"/>
  <c r="F11" i="1"/>
  <c r="F22" i="2" s="1"/>
  <c r="F23" i="2" s="1"/>
  <c r="E57" i="1"/>
  <c r="E67" i="1" s="1"/>
  <c r="E69" i="1" s="1"/>
  <c r="M45" i="5" l="1"/>
  <c r="M51" i="5" s="1"/>
  <c r="H21" i="3"/>
  <c r="G22" i="4"/>
  <c r="G9" i="4" s="1"/>
  <c r="G8" i="4"/>
  <c r="G5" i="4"/>
  <c r="F25" i="2"/>
  <c r="F26" i="2"/>
  <c r="F66" i="1"/>
  <c r="F72" i="1"/>
  <c r="F12" i="1"/>
  <c r="M52" i="5" l="1"/>
  <c r="M50" i="5"/>
  <c r="G23" i="4"/>
  <c r="G10" i="4" s="1"/>
  <c r="G42" i="1" s="1"/>
  <c r="F27" i="2"/>
  <c r="F60" i="2"/>
  <c r="F14" i="1"/>
  <c r="F73" i="1" s="1"/>
  <c r="M57" i="5" l="1"/>
  <c r="H21" i="4"/>
  <c r="H18" i="4"/>
  <c r="G44" i="1"/>
  <c r="H22" i="4"/>
  <c r="F26" i="1"/>
  <c r="F61" i="2"/>
  <c r="F62" i="2" s="1"/>
  <c r="G59" i="2" s="1"/>
  <c r="F57" i="1"/>
  <c r="F67" i="1" s="1"/>
  <c r="F69" i="1" s="1"/>
  <c r="I11" i="1" l="1"/>
  <c r="H23" i="4"/>
  <c r="G11" i="1"/>
  <c r="J11" i="1" l="1"/>
  <c r="H11" i="1"/>
  <c r="D48" i="1"/>
  <c r="D53" i="1" s="1"/>
  <c r="E48" i="1"/>
  <c r="E53" i="1" s="1"/>
  <c r="F48" i="1"/>
  <c r="F53" i="1" s="1"/>
  <c r="E74" i="1"/>
  <c r="E76" i="1" s="1"/>
  <c r="F74" i="1"/>
  <c r="F76" i="1" s="1"/>
  <c r="K11" i="1" l="1"/>
  <c r="E75" i="1"/>
  <c r="E77" i="1" s="1"/>
  <c r="E78" i="1" s="1"/>
  <c r="D33" i="1"/>
  <c r="D38" i="1" l="1"/>
  <c r="D49" i="1" s="1"/>
  <c r="D52" i="1"/>
  <c r="F75" i="1"/>
  <c r="F77" i="1" s="1"/>
  <c r="E33" i="1"/>
  <c r="E38" i="1" l="1"/>
  <c r="E49" i="1" s="1"/>
  <c r="E52" i="1"/>
  <c r="F78" i="1"/>
  <c r="F33" i="1"/>
  <c r="H4" i="1"/>
  <c r="H11" i="3"/>
  <c r="H12" i="3" s="1"/>
  <c r="C56" i="3" s="1"/>
  <c r="H60" i="3" s="1"/>
  <c r="F38" i="1" l="1"/>
  <c r="F49" i="1" s="1"/>
  <c r="F52" i="1"/>
  <c r="H59" i="3"/>
  <c r="I60" i="3"/>
  <c r="K60" i="3"/>
  <c r="J60" i="3"/>
  <c r="G4" i="2"/>
  <c r="G35" i="2"/>
  <c r="G13" i="2"/>
  <c r="G4" i="1"/>
  <c r="H21" i="1" s="1"/>
  <c r="G11" i="3"/>
  <c r="G12" i="3" s="1"/>
  <c r="C48" i="3" s="1"/>
  <c r="G15" i="2"/>
  <c r="G7" i="1" s="1"/>
  <c r="H15" i="2"/>
  <c r="H7" i="1" s="1"/>
  <c r="H4" i="2"/>
  <c r="H35" i="2"/>
  <c r="H30" i="1" s="1"/>
  <c r="H13" i="2"/>
  <c r="K52" i="3" l="1"/>
  <c r="G52" i="3"/>
  <c r="I52" i="3"/>
  <c r="H52" i="3"/>
  <c r="G51" i="3"/>
  <c r="J52" i="3"/>
  <c r="G6" i="3"/>
  <c r="H6" i="3"/>
  <c r="H5" i="3"/>
  <c r="H61" i="3"/>
  <c r="I58" i="3" s="1"/>
  <c r="I61" i="3" s="1"/>
  <c r="J58" i="3" s="1"/>
  <c r="J61" i="3" s="1"/>
  <c r="K58" i="3" s="1"/>
  <c r="K61" i="3" s="1"/>
  <c r="G30" i="1"/>
  <c r="H12" i="2"/>
  <c r="G21" i="1"/>
  <c r="G12" i="2"/>
  <c r="G53" i="3" l="1"/>
  <c r="H50" i="3" s="1"/>
  <c r="H53" i="3" s="1"/>
  <c r="I50" i="3" s="1"/>
  <c r="I53" i="3" s="1"/>
  <c r="J50" i="3" s="1"/>
  <c r="J53" i="3" s="1"/>
  <c r="K50" i="3" s="1"/>
  <c r="K53" i="3" s="1"/>
  <c r="G9" i="1"/>
  <c r="G5" i="3"/>
  <c r="G38" i="2"/>
  <c r="G44" i="2"/>
  <c r="G39" i="1" s="1"/>
  <c r="G5" i="1"/>
  <c r="G6" i="1" s="1"/>
  <c r="H44" i="2"/>
  <c r="H39" i="1" s="1"/>
  <c r="H41" i="1" s="1"/>
  <c r="H45" i="1" s="1"/>
  <c r="H5" i="1"/>
  <c r="H6" i="1" s="1"/>
  <c r="H38" i="2"/>
  <c r="H31" i="1" s="1"/>
  <c r="I13" i="2"/>
  <c r="I4" i="1"/>
  <c r="I15" i="2"/>
  <c r="I7" i="1" s="1"/>
  <c r="I4" i="2"/>
  <c r="C64" i="3"/>
  <c r="I35" i="2"/>
  <c r="I30" i="1" s="1"/>
  <c r="G7" i="3" l="1"/>
  <c r="G20" i="2"/>
  <c r="G29" i="2" s="1"/>
  <c r="G31" i="2" s="1"/>
  <c r="G32" i="2" s="1"/>
  <c r="G17" i="1"/>
  <c r="G23" i="2"/>
  <c r="G24" i="2" s="1"/>
  <c r="G13" i="1" s="1"/>
  <c r="M68" i="3"/>
  <c r="I68" i="3"/>
  <c r="I6" i="3" s="1"/>
  <c r="L68" i="3"/>
  <c r="G37" i="1"/>
  <c r="H9" i="1"/>
  <c r="H10" i="1" s="1"/>
  <c r="H20" i="2"/>
  <c r="I67" i="3"/>
  <c r="I5" i="3" s="1"/>
  <c r="K68" i="3"/>
  <c r="J68" i="3"/>
  <c r="G22" i="1"/>
  <c r="G10" i="1"/>
  <c r="I21" i="1"/>
  <c r="J35" i="2"/>
  <c r="J30" i="1" s="1"/>
  <c r="J13" i="2"/>
  <c r="J4" i="1"/>
  <c r="J15" i="2"/>
  <c r="J7" i="1" s="1"/>
  <c r="C72" i="3"/>
  <c r="J4" i="2"/>
  <c r="H51" i="2"/>
  <c r="G41" i="1"/>
  <c r="G45" i="1" s="1"/>
  <c r="I12" i="2"/>
  <c r="K4" i="2"/>
  <c r="K35" i="2"/>
  <c r="K30" i="1" s="1"/>
  <c r="K13" i="2"/>
  <c r="C80" i="3"/>
  <c r="K15" i="2"/>
  <c r="K7" i="1" s="1"/>
  <c r="H22" i="1"/>
  <c r="G31" i="1"/>
  <c r="G51" i="2"/>
  <c r="G52" i="2" s="1"/>
  <c r="G21" i="2" l="1"/>
  <c r="G8" i="3"/>
  <c r="K83" i="3"/>
  <c r="K5" i="3" s="1"/>
  <c r="L84" i="3"/>
  <c r="M84" i="3"/>
  <c r="N84" i="3"/>
  <c r="K84" i="3"/>
  <c r="K85" i="3" s="1"/>
  <c r="L82" i="3" s="1"/>
  <c r="O84" i="3"/>
  <c r="L76" i="3"/>
  <c r="M76" i="3"/>
  <c r="N76" i="3"/>
  <c r="J76" i="3"/>
  <c r="J6" i="3" s="1"/>
  <c r="H7" i="3"/>
  <c r="H4" i="3"/>
  <c r="J75" i="3"/>
  <c r="J5" i="3" s="1"/>
  <c r="K76" i="3"/>
  <c r="H21" i="2"/>
  <c r="H23" i="2"/>
  <c r="H24" i="2" s="1"/>
  <c r="H13" i="1" s="1"/>
  <c r="H29" i="2"/>
  <c r="H31" i="2" s="1"/>
  <c r="H32" i="2" s="1"/>
  <c r="I69" i="3"/>
  <c r="H17" i="1"/>
  <c r="J12" i="2"/>
  <c r="I13" i="5"/>
  <c r="G16" i="1"/>
  <c r="G18" i="1" s="1"/>
  <c r="G23" i="1"/>
  <c r="G12" i="1"/>
  <c r="G14" i="1" s="1"/>
  <c r="H52" i="2"/>
  <c r="H12" i="1"/>
  <c r="H23" i="1"/>
  <c r="H16" i="1"/>
  <c r="K21" i="1"/>
  <c r="I38" i="2"/>
  <c r="I31" i="1" s="1"/>
  <c r="I44" i="2"/>
  <c r="I39" i="1" s="1"/>
  <c r="I41" i="1" s="1"/>
  <c r="I45" i="1" s="1"/>
  <c r="I5" i="1"/>
  <c r="I6" i="1" s="1"/>
  <c r="K12" i="2"/>
  <c r="K5" i="1" s="1"/>
  <c r="K6" i="1" s="1"/>
  <c r="J21" i="1"/>
  <c r="G26" i="2"/>
  <c r="K6" i="3" l="1"/>
  <c r="J9" i="1"/>
  <c r="J17" i="1" s="1"/>
  <c r="I9" i="1"/>
  <c r="I20" i="2"/>
  <c r="J66" i="3"/>
  <c r="L85" i="3"/>
  <c r="H14" i="1"/>
  <c r="H26" i="1" s="1"/>
  <c r="H18" i="1"/>
  <c r="H54" i="1" s="1"/>
  <c r="J77" i="3"/>
  <c r="K74" i="3" s="1"/>
  <c r="K77" i="3" s="1"/>
  <c r="L74" i="3" s="1"/>
  <c r="L77" i="3" s="1"/>
  <c r="M74" i="3" s="1"/>
  <c r="M77" i="3" s="1"/>
  <c r="N74" i="3" s="1"/>
  <c r="N77" i="3" s="1"/>
  <c r="H26" i="2"/>
  <c r="H27" i="2" s="1"/>
  <c r="I4" i="3"/>
  <c r="H37" i="1"/>
  <c r="J13" i="5"/>
  <c r="G54" i="1"/>
  <c r="G24" i="1"/>
  <c r="I22" i="1"/>
  <c r="G26" i="1"/>
  <c r="G56" i="2"/>
  <c r="G61" i="2" s="1"/>
  <c r="K38" i="2"/>
  <c r="K31" i="1" s="1"/>
  <c r="K44" i="2"/>
  <c r="K39" i="1" s="1"/>
  <c r="I51" i="2"/>
  <c r="I52" i="2" s="1"/>
  <c r="G27" i="2"/>
  <c r="G60" i="2"/>
  <c r="J38" i="2"/>
  <c r="J31" i="1" s="1"/>
  <c r="J44" i="2"/>
  <c r="J39" i="1" s="1"/>
  <c r="J41" i="1" s="1"/>
  <c r="J45" i="1" s="1"/>
  <c r="J5" i="1"/>
  <c r="J6" i="1" s="1"/>
  <c r="K41" i="1" l="1"/>
  <c r="K45" i="1" s="1"/>
  <c r="H24" i="1"/>
  <c r="K9" i="1"/>
  <c r="K17" i="1" s="1"/>
  <c r="M82" i="3"/>
  <c r="M85" i="3" s="1"/>
  <c r="N82" i="3" s="1"/>
  <c r="N85" i="3" s="1"/>
  <c r="J20" i="2"/>
  <c r="I17" i="1"/>
  <c r="J69" i="3"/>
  <c r="I10" i="1"/>
  <c r="I16" i="1" s="1"/>
  <c r="I23" i="2"/>
  <c r="I24" i="2" s="1"/>
  <c r="I13" i="1" s="1"/>
  <c r="I29" i="2"/>
  <c r="I31" i="2" s="1"/>
  <c r="I32" i="2" s="1"/>
  <c r="I21" i="2"/>
  <c r="H56" i="2"/>
  <c r="H61" i="2" s="1"/>
  <c r="H60" i="2"/>
  <c r="H8" i="3"/>
  <c r="I7" i="3"/>
  <c r="K51" i="2"/>
  <c r="G62" i="2"/>
  <c r="K22" i="1"/>
  <c r="J22" i="1"/>
  <c r="J10" i="1"/>
  <c r="J51" i="2"/>
  <c r="J52" i="2" s="1"/>
  <c r="I37" i="1" l="1"/>
  <c r="K20" i="2"/>
  <c r="K21" i="2" s="1"/>
  <c r="I18" i="1"/>
  <c r="I24" i="1" s="1"/>
  <c r="K10" i="1"/>
  <c r="K12" i="1" s="1"/>
  <c r="I8" i="3"/>
  <c r="I26" i="2"/>
  <c r="I27" i="2" s="1"/>
  <c r="J23" i="2"/>
  <c r="J24" i="2" s="1"/>
  <c r="J13" i="1" s="1"/>
  <c r="J29" i="2"/>
  <c r="J31" i="2" s="1"/>
  <c r="J32" i="2" s="1"/>
  <c r="J21" i="2"/>
  <c r="I23" i="1"/>
  <c r="K13" i="5"/>
  <c r="O82" i="3"/>
  <c r="O85" i="3" s="1"/>
  <c r="K66" i="3"/>
  <c r="I12" i="1"/>
  <c r="I14" i="1" s="1"/>
  <c r="J4" i="3"/>
  <c r="H59" i="2"/>
  <c r="H62" i="2" s="1"/>
  <c r="H48" i="1" s="1"/>
  <c r="K52" i="2"/>
  <c r="L13" i="5"/>
  <c r="J16" i="1"/>
  <c r="J18" i="1" s="1"/>
  <c r="J23" i="1"/>
  <c r="J12" i="1"/>
  <c r="K29" i="2" l="1"/>
  <c r="K31" i="2" s="1"/>
  <c r="K32" i="2" s="1"/>
  <c r="I54" i="1"/>
  <c r="K23" i="2"/>
  <c r="K24" i="2" s="1"/>
  <c r="K13" i="1" s="1"/>
  <c r="K14" i="1" s="1"/>
  <c r="K16" i="1"/>
  <c r="K18" i="1" s="1"/>
  <c r="K24" i="1" s="1"/>
  <c r="I26" i="1"/>
  <c r="K23" i="1"/>
  <c r="I56" i="2"/>
  <c r="I61" i="2" s="1"/>
  <c r="J26" i="2"/>
  <c r="J27" i="2" s="1"/>
  <c r="I60" i="2"/>
  <c r="J14" i="1"/>
  <c r="J26" i="1" s="1"/>
  <c r="K69" i="3"/>
  <c r="K7" i="3" s="1"/>
  <c r="K4" i="3"/>
  <c r="J7" i="3"/>
  <c r="I59" i="2"/>
  <c r="G48" i="1"/>
  <c r="G53" i="1" s="1"/>
  <c r="I34" i="5" s="1"/>
  <c r="I35" i="5" s="1"/>
  <c r="I36" i="5" s="1"/>
  <c r="J54" i="1"/>
  <c r="J24" i="1"/>
  <c r="J37" i="1" l="1"/>
  <c r="K26" i="2"/>
  <c r="K60" i="2" s="1"/>
  <c r="K54" i="1"/>
  <c r="J56" i="2"/>
  <c r="J61" i="2" s="1"/>
  <c r="J60" i="2"/>
  <c r="I62" i="2"/>
  <c r="I48" i="1" s="1"/>
  <c r="L66" i="3"/>
  <c r="L69" i="3" s="1"/>
  <c r="M66" i="3" s="1"/>
  <c r="M69" i="3" s="1"/>
  <c r="K26" i="1"/>
  <c r="K56" i="2"/>
  <c r="K61" i="2" s="1"/>
  <c r="G29" i="1"/>
  <c r="H53" i="1"/>
  <c r="J34" i="5" s="1"/>
  <c r="J35" i="5" s="1"/>
  <c r="J36" i="5" s="1"/>
  <c r="J8" i="3" l="1"/>
  <c r="J59" i="2"/>
  <c r="J62" i="2" s="1"/>
  <c r="J48" i="1" s="1"/>
  <c r="G33" i="1"/>
  <c r="G52" i="1" s="1"/>
  <c r="G78" i="1"/>
  <c r="K27" i="2"/>
  <c r="K8" i="3"/>
  <c r="K37" i="1"/>
  <c r="H29" i="1"/>
  <c r="H33" i="1" s="1"/>
  <c r="H38" i="1" s="1"/>
  <c r="H49" i="1" s="1"/>
  <c r="I53" i="1"/>
  <c r="K34" i="5" s="1"/>
  <c r="K35" i="5" s="1"/>
  <c r="K36" i="5" s="1"/>
  <c r="K59" i="2" l="1"/>
  <c r="K62" i="2" s="1"/>
  <c r="K48" i="1" s="1"/>
  <c r="K53" i="1" s="1"/>
  <c r="M34" i="5" s="1"/>
  <c r="M35" i="5" s="1"/>
  <c r="M36" i="5" s="1"/>
  <c r="D32" i="5" s="1"/>
  <c r="G38" i="1"/>
  <c r="G49" i="1" s="1"/>
  <c r="J53" i="1"/>
  <c r="L34" i="5" s="1"/>
  <c r="L35" i="5" s="1"/>
  <c r="L36" i="5" s="1"/>
  <c r="I29" i="1" l="1"/>
  <c r="I33" i="1" s="1"/>
  <c r="I38" i="1" s="1"/>
  <c r="I49" i="1" s="1"/>
  <c r="H52" i="1"/>
  <c r="H78" i="1"/>
  <c r="J29" i="1" l="1"/>
  <c r="J33" i="1" s="1"/>
  <c r="J38" i="1" s="1"/>
  <c r="J49" i="1" s="1"/>
  <c r="I6" i="7"/>
  <c r="I22" i="7" s="1"/>
  <c r="C32" i="5"/>
  <c r="I32" i="5" s="1"/>
  <c r="I78" i="1"/>
  <c r="I52" i="1"/>
  <c r="K29" i="1" l="1"/>
  <c r="J32" i="5"/>
  <c r="I31" i="5"/>
  <c r="I14" i="5" s="1"/>
  <c r="I15" i="5" s="1"/>
  <c r="J78" i="1"/>
  <c r="J52" i="1"/>
  <c r="K33" i="1" l="1"/>
  <c r="K38" i="1" s="1"/>
  <c r="K49" i="1" s="1"/>
  <c r="K78" i="1"/>
  <c r="K32" i="5"/>
  <c r="J31" i="5"/>
  <c r="J14" i="5" s="1"/>
  <c r="J15" i="5" s="1"/>
  <c r="K52" i="1" l="1"/>
  <c r="L32" i="5"/>
  <c r="K31" i="5"/>
  <c r="K14" i="5" s="1"/>
  <c r="K15" i="5" s="1"/>
  <c r="L31" i="5" l="1"/>
  <c r="L14" i="5" s="1"/>
  <c r="L15" i="5" s="1"/>
  <c r="M32" i="5"/>
  <c r="M31" i="5" s="1"/>
  <c r="M13" i="5" l="1"/>
  <c r="M14" i="5"/>
  <c r="M15" i="5" l="1"/>
  <c r="I22" i="5" s="1"/>
  <c r="I24" i="5" s="1"/>
  <c r="I27" i="5" l="1"/>
  <c r="E22" i="7" s="1"/>
  <c r="E6" i="7"/>
</calcChain>
</file>

<file path=xl/sharedStrings.xml><?xml version="1.0" encoding="utf-8"?>
<sst xmlns="http://schemas.openxmlformats.org/spreadsheetml/2006/main" count="306" uniqueCount="177">
  <si>
    <t>Income Statement</t>
  </si>
  <si>
    <t>COGS</t>
  </si>
  <si>
    <t>Gross Profit</t>
  </si>
  <si>
    <t>EBIT</t>
  </si>
  <si>
    <t>Tax Expense</t>
  </si>
  <si>
    <t>EBT</t>
  </si>
  <si>
    <t>Interest Expense</t>
  </si>
  <si>
    <t>Net Income</t>
  </si>
  <si>
    <t>Selling Expenses</t>
  </si>
  <si>
    <t>Administrative Expenses</t>
  </si>
  <si>
    <t>N/A</t>
  </si>
  <si>
    <t>% EBIT Margin</t>
  </si>
  <si>
    <t>% Net Profit Margin</t>
  </si>
  <si>
    <t>% Gross Profit Margin</t>
  </si>
  <si>
    <t>Balance Sheet</t>
  </si>
  <si>
    <t>Cash and Cash Equivalent</t>
  </si>
  <si>
    <t>Account Receivables</t>
  </si>
  <si>
    <t>Inventory</t>
  </si>
  <si>
    <t>Other Current Assets</t>
  </si>
  <si>
    <t>Total Current Assets</t>
  </si>
  <si>
    <t>PP&amp;E</t>
  </si>
  <si>
    <t>Intangible Assets</t>
  </si>
  <si>
    <t>Other Non-current Assets</t>
  </si>
  <si>
    <t>Total Assets</t>
  </si>
  <si>
    <t>Total Non-current Assets</t>
  </si>
  <si>
    <t>Account Payables</t>
  </si>
  <si>
    <t>Other Current Liabilities</t>
  </si>
  <si>
    <t>Long-term Loan</t>
  </si>
  <si>
    <t>Non-current Liabilities</t>
  </si>
  <si>
    <t>Total Non-current Liabilities</t>
  </si>
  <si>
    <t>Total Current Liabilities</t>
  </si>
  <si>
    <t>Total Liabilities</t>
  </si>
  <si>
    <t>Share Capital</t>
  </si>
  <si>
    <t>Retained Earnings</t>
  </si>
  <si>
    <t>Total Shareholders Equity</t>
  </si>
  <si>
    <t>Account Receivable Turnover</t>
  </si>
  <si>
    <t>Account Receivable Days</t>
  </si>
  <si>
    <t>Inventory Turnover</t>
  </si>
  <si>
    <t>Inventory Days</t>
  </si>
  <si>
    <t>Account Payable Turnover</t>
  </si>
  <si>
    <t>Account Payable Days</t>
  </si>
  <si>
    <t>Cash Flow Statement</t>
  </si>
  <si>
    <t>(+) Depreciation and Amortization</t>
  </si>
  <si>
    <t>(+/-) Change in A/R</t>
  </si>
  <si>
    <t>(+/-) Change in Inventory</t>
  </si>
  <si>
    <t>(+/-) Change in A/P</t>
  </si>
  <si>
    <t>(+/-) Change in Other Current Assets</t>
  </si>
  <si>
    <t>(+/-) Change in Other Non-current Assets</t>
  </si>
  <si>
    <t>(+/-) Change in Other Current Liabilities</t>
  </si>
  <si>
    <t>(+/-) Change in Other Non-current Liabilities</t>
  </si>
  <si>
    <t>PP&amp;E Schedule</t>
  </si>
  <si>
    <t>Beginning</t>
  </si>
  <si>
    <t>Capex</t>
  </si>
  <si>
    <t>Depreciation</t>
  </si>
  <si>
    <t>Ending PP&amp;E</t>
  </si>
  <si>
    <t>Depreciation Period</t>
  </si>
  <si>
    <t>Ending</t>
  </si>
  <si>
    <t>2016 PP&amp;E</t>
  </si>
  <si>
    <t>2017 PP&amp;E</t>
  </si>
  <si>
    <t>2018 PP&amp;E</t>
  </si>
  <si>
    <t>2019 PP&amp;E</t>
  </si>
  <si>
    <t>Check</t>
  </si>
  <si>
    <t>Operating Cash Flows</t>
  </si>
  <si>
    <t>Free Cash Flows</t>
  </si>
  <si>
    <t>Debt Issuance</t>
  </si>
  <si>
    <t>Debt Repayment</t>
  </si>
  <si>
    <t>Dividend Paid</t>
  </si>
  <si>
    <t>Financing Cash Flows</t>
  </si>
  <si>
    <t>Beginning Cash Flow</t>
  </si>
  <si>
    <t>Net Change in Cash Flow</t>
  </si>
  <si>
    <t>Ending Cash Flow</t>
  </si>
  <si>
    <t>Debt Schedule</t>
  </si>
  <si>
    <t>Beginning Balance</t>
  </si>
  <si>
    <t>Installment</t>
  </si>
  <si>
    <t>Principal Repayment</t>
  </si>
  <si>
    <t>Ending Balance</t>
  </si>
  <si>
    <t>Debt Amount</t>
  </si>
  <si>
    <t>Tenor</t>
  </si>
  <si>
    <t>Interest Rate</t>
  </si>
  <si>
    <t>Dividend Payout Ratio</t>
  </si>
  <si>
    <t>NWC</t>
  </si>
  <si>
    <t>Beginning Retained Earnings</t>
  </si>
  <si>
    <t>Ending Retained Earnings</t>
  </si>
  <si>
    <t>Dividend Payment</t>
  </si>
  <si>
    <t>DA</t>
  </si>
  <si>
    <t>% EBITDA Margin</t>
  </si>
  <si>
    <t>EBITDA</t>
  </si>
  <si>
    <t>Selling Price</t>
  </si>
  <si>
    <t>Quantity Sold</t>
  </si>
  <si>
    <t>% Growth</t>
  </si>
  <si>
    <t>Total Revenue</t>
  </si>
  <si>
    <t>% to Total Revenue</t>
  </si>
  <si>
    <t>% Tax Rate</t>
  </si>
  <si>
    <t>Net Profit</t>
  </si>
  <si>
    <t>Key Performance Ratios</t>
  </si>
  <si>
    <t xml:space="preserve">% Revenue Growth </t>
  </si>
  <si>
    <t>% GPM</t>
  </si>
  <si>
    <t>% Net Profit Growth</t>
  </si>
  <si>
    <t>% NPM</t>
  </si>
  <si>
    <t>FCFF</t>
  </si>
  <si>
    <t>Change in NWC</t>
  </si>
  <si>
    <t>Tax Rate</t>
  </si>
  <si>
    <t>EBIT*(1-Tax)</t>
  </si>
  <si>
    <t>FCFF Method</t>
  </si>
  <si>
    <t>Rm</t>
  </si>
  <si>
    <t>Rf</t>
  </si>
  <si>
    <t>Kd</t>
  </si>
  <si>
    <t>Beta</t>
  </si>
  <si>
    <t>Risk Premium</t>
  </si>
  <si>
    <t>Ke</t>
  </si>
  <si>
    <t>WACC</t>
  </si>
  <si>
    <t>We</t>
  </si>
  <si>
    <t>IBD/E</t>
  </si>
  <si>
    <t>IBD/Equity</t>
  </si>
  <si>
    <t>Key Ratios</t>
  </si>
  <si>
    <t>Wd</t>
  </si>
  <si>
    <t>Discount Rate</t>
  </si>
  <si>
    <t>Terminal Value</t>
  </si>
  <si>
    <t>Terminal Growth Rate</t>
  </si>
  <si>
    <t>Total FCFF</t>
  </si>
  <si>
    <t>PV</t>
  </si>
  <si>
    <t>2019 Debt</t>
  </si>
  <si>
    <t>2019 Cash</t>
  </si>
  <si>
    <t>Equity Value</t>
  </si>
  <si>
    <t>Enterprise Value</t>
  </si>
  <si>
    <t>Number of Shares</t>
  </si>
  <si>
    <t>Fair Price</t>
  </si>
  <si>
    <t>2017 Term Loan</t>
  </si>
  <si>
    <t>Total Term Loan</t>
  </si>
  <si>
    <t>2020 PP&amp;E</t>
  </si>
  <si>
    <t>2021 PP&amp;E</t>
  </si>
  <si>
    <t>2022 PP&amp;E</t>
  </si>
  <si>
    <t>2023 PP&amp;E</t>
  </si>
  <si>
    <t>2024 PP&amp;E</t>
  </si>
  <si>
    <t>IBD/EBITDA</t>
  </si>
  <si>
    <t>Current Ratio</t>
  </si>
  <si>
    <t>(+) Interest Expense</t>
  </si>
  <si>
    <t>Step</t>
  </si>
  <si>
    <t>Building income statement</t>
  </si>
  <si>
    <t>Project net working capital</t>
  </si>
  <si>
    <t>Project PP&amp;E</t>
  </si>
  <si>
    <t>Project debt schedule</t>
  </si>
  <si>
    <t>Project other items in balance sheet</t>
  </si>
  <si>
    <t>Building balance sheet (except Cash)</t>
  </si>
  <si>
    <t>Building cash flow statement</t>
  </si>
  <si>
    <t>Calculate FCFF &amp; WACC</t>
  </si>
  <si>
    <t>Run sensitivity</t>
  </si>
  <si>
    <t>Dummy WACC</t>
  </si>
  <si>
    <t>Dummy Terminal Growth Rate</t>
  </si>
  <si>
    <t>Moving WACC</t>
  </si>
  <si>
    <t>Constant WACC</t>
  </si>
  <si>
    <t>1: Constant, 2: Moving</t>
  </si>
  <si>
    <t>Market Price</t>
  </si>
  <si>
    <t>% Upside (Downside)</t>
  </si>
  <si>
    <t>Period</t>
  </si>
  <si>
    <t>2021 Unsecured Bond</t>
  </si>
  <si>
    <t>Maintenance Capex</t>
  </si>
  <si>
    <t>% Implied Market Share</t>
  </si>
  <si>
    <t>Income Statement (In THB MM)</t>
  </si>
  <si>
    <t>Market Size (In Units)</t>
  </si>
  <si>
    <t>Total Capex</t>
  </si>
  <si>
    <t>WACC and Ke Calculation</t>
  </si>
  <si>
    <t>2017 Ending Balance</t>
  </si>
  <si>
    <t>2021 Ending Balance</t>
  </si>
  <si>
    <t>2020 Term Loan</t>
  </si>
  <si>
    <t>2020 Ending Balance</t>
  </si>
  <si>
    <t>Debt Balance</t>
  </si>
  <si>
    <t>Cost of Debt</t>
  </si>
  <si>
    <t>2017 Kd</t>
  </si>
  <si>
    <t>2020 Kd</t>
  </si>
  <si>
    <t>2021 Kd</t>
  </si>
  <si>
    <t>% Debt Balance</t>
  </si>
  <si>
    <t>% 2017 Ending Balance</t>
  </si>
  <si>
    <t>% 2020 Ending Balance</t>
  </si>
  <si>
    <t>% 2021 Ending Balance</t>
  </si>
  <si>
    <t>Weighted Kd</t>
  </si>
  <si>
    <t>Target 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</si>
</sst>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0\A"/>
    <numFmt numFmtId="165" formatCode="0\E"/>
    <numFmt numFmtId="166" formatCode="0.0%"/>
    <numFmt numFmtId="167" formatCode="#,##0.0"/>
    <numFmt numFmtId="168" formatCode="0.0"/>
    <numFmt numFmtId="169" formatCode="#,##0.0_);\(#,##0.0\)"/>
    <numFmt numFmtId="170" formatCode="0.0_);\(0.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darkUp">
        <bgColor theme="0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0" fillId="2" borderId="0" xfId="0" applyFill="1"/>
    <xf numFmtId="0" fontId="2" fillId="2" borderId="0" xfId="0" applyFont="1" applyFill="1"/>
    <xf numFmtId="164" fontId="2" fillId="2" borderId="0" xfId="0" applyNumberFormat="1" applyFont="1" applyFill="1"/>
    <xf numFmtId="165" fontId="2" fillId="2" borderId="0" xfId="0" applyNumberFormat="1" applyFont="1" applyFill="1"/>
    <xf numFmtId="9" fontId="0" fillId="2" borderId="0" xfId="0" applyNumberFormat="1" applyFill="1"/>
    <xf numFmtId="0" fontId="2" fillId="2" borderId="1" xfId="0" applyFont="1" applyFill="1" applyBorder="1"/>
    <xf numFmtId="166" fontId="0" fillId="2" borderId="0" xfId="2" applyNumberFormat="1" applyFont="1" applyFill="1"/>
    <xf numFmtId="166" fontId="0" fillId="2" borderId="0" xfId="2" applyNumberFormat="1" applyFont="1" applyFill="1" applyAlignment="1">
      <alignment horizontal="right"/>
    </xf>
    <xf numFmtId="166" fontId="0" fillId="2" borderId="0" xfId="0" applyNumberFormat="1" applyFill="1"/>
    <xf numFmtId="0" fontId="0" fillId="2" borderId="0" xfId="0" applyFill="1" applyAlignment="1">
      <alignment horizontal="right"/>
    </xf>
    <xf numFmtId="167" fontId="0" fillId="2" borderId="0" xfId="0" applyNumberFormat="1" applyFill="1"/>
    <xf numFmtId="0" fontId="2" fillId="2" borderId="2" xfId="0" applyFont="1" applyFill="1" applyBorder="1"/>
    <xf numFmtId="37" fontId="0" fillId="2" borderId="0" xfId="0" applyNumberFormat="1" applyFill="1"/>
    <xf numFmtId="168" fontId="0" fillId="2" borderId="0" xfId="0" applyNumberFormat="1" applyFill="1"/>
    <xf numFmtId="0" fontId="0" fillId="2" borderId="0" xfId="0" applyFill="1" applyAlignment="1">
      <alignment horizontal="left" indent="1"/>
    </xf>
    <xf numFmtId="169" fontId="0" fillId="2" borderId="0" xfId="0" applyNumberFormat="1" applyFill="1"/>
    <xf numFmtId="169" fontId="2" fillId="2" borderId="1" xfId="0" applyNumberFormat="1" applyFont="1" applyFill="1" applyBorder="1"/>
    <xf numFmtId="169" fontId="2" fillId="2" borderId="2" xfId="0" applyNumberFormat="1" applyFont="1" applyFill="1" applyBorder="1"/>
    <xf numFmtId="169" fontId="3" fillId="2" borderId="0" xfId="0" applyNumberFormat="1" applyFont="1" applyFill="1"/>
    <xf numFmtId="43" fontId="0" fillId="2" borderId="0" xfId="1" applyFont="1" applyFill="1"/>
    <xf numFmtId="0" fontId="0" fillId="2" borderId="0" xfId="0" applyFont="1" applyFill="1"/>
    <xf numFmtId="0" fontId="2" fillId="2" borderId="0" xfId="0" applyFont="1" applyFill="1" applyBorder="1"/>
    <xf numFmtId="168" fontId="2" fillId="2" borderId="0" xfId="0" applyNumberFormat="1" applyFont="1" applyFill="1" applyBorder="1"/>
    <xf numFmtId="169" fontId="0" fillId="2" borderId="0" xfId="0" applyNumberFormat="1" applyFill="1" applyAlignment="1">
      <alignment horizontal="right"/>
    </xf>
    <xf numFmtId="169" fontId="2" fillId="2" borderId="0" xfId="0" applyNumberFormat="1" applyFont="1" applyFill="1"/>
    <xf numFmtId="169" fontId="4" fillId="2" borderId="0" xfId="2" applyNumberFormat="1" applyFont="1" applyFill="1" applyAlignment="1">
      <alignment horizontal="right"/>
    </xf>
    <xf numFmtId="169" fontId="5" fillId="2" borderId="0" xfId="2" applyNumberFormat="1" applyFont="1" applyFill="1" applyAlignment="1">
      <alignment horizontal="right"/>
    </xf>
    <xf numFmtId="169" fontId="2" fillId="2" borderId="0" xfId="2" applyNumberFormat="1" applyFont="1" applyFill="1" applyAlignment="1">
      <alignment horizontal="right"/>
    </xf>
    <xf numFmtId="37" fontId="0" fillId="2" borderId="0" xfId="0" applyNumberFormat="1" applyFont="1" applyFill="1"/>
    <xf numFmtId="169" fontId="7" fillId="2" borderId="0" xfId="2" applyNumberFormat="1" applyFont="1" applyFill="1" applyAlignment="1">
      <alignment horizontal="right"/>
    </xf>
    <xf numFmtId="167" fontId="4" fillId="2" borderId="0" xfId="0" applyNumberFormat="1" applyFont="1" applyFill="1"/>
    <xf numFmtId="169" fontId="4" fillId="2" borderId="0" xfId="0" applyNumberFormat="1" applyFont="1" applyFill="1"/>
    <xf numFmtId="166" fontId="1" fillId="2" borderId="0" xfId="2" applyNumberFormat="1" applyFont="1" applyFill="1"/>
    <xf numFmtId="0" fontId="0" fillId="2" borderId="0" xfId="0" applyFont="1" applyFill="1" applyAlignment="1">
      <alignment horizontal="left" indent="1"/>
    </xf>
    <xf numFmtId="169" fontId="0" fillId="2" borderId="0" xfId="0" applyNumberFormat="1" applyFont="1" applyFill="1"/>
    <xf numFmtId="169" fontId="6" fillId="2" borderId="1" xfId="2" applyNumberFormat="1" applyFont="1" applyFill="1" applyBorder="1" applyAlignment="1">
      <alignment horizontal="right"/>
    </xf>
    <xf numFmtId="0" fontId="0" fillId="2" borderId="5" xfId="0" applyFill="1" applyBorder="1" applyAlignment="1">
      <alignment horizontal="left" indent="1"/>
    </xf>
    <xf numFmtId="166" fontId="0" fillId="2" borderId="5" xfId="2" applyNumberFormat="1" applyFont="1" applyFill="1" applyBorder="1"/>
    <xf numFmtId="0" fontId="0" fillId="2" borderId="0" xfId="0" applyFill="1" applyAlignment="1">
      <alignment horizontal="left" indent="2"/>
    </xf>
    <xf numFmtId="169" fontId="6" fillId="2" borderId="1" xfId="0" applyNumberFormat="1" applyFont="1" applyFill="1" applyBorder="1"/>
    <xf numFmtId="2" fontId="0" fillId="2" borderId="0" xfId="0" applyNumberFormat="1" applyFill="1"/>
    <xf numFmtId="166" fontId="2" fillId="2" borderId="0" xfId="2" applyNumberFormat="1" applyFont="1" applyFill="1"/>
    <xf numFmtId="39" fontId="0" fillId="2" borderId="0" xfId="0" applyNumberFormat="1" applyFill="1"/>
    <xf numFmtId="169" fontId="2" fillId="2" borderId="0" xfId="0" applyNumberFormat="1" applyFont="1" applyFill="1" applyBorder="1"/>
    <xf numFmtId="169" fontId="3" fillId="3" borderId="3" xfId="0" applyNumberFormat="1" applyFont="1" applyFill="1" applyBorder="1"/>
    <xf numFmtId="166" fontId="3" fillId="3" borderId="3" xfId="2" applyNumberFormat="1" applyFont="1" applyFill="1" applyBorder="1"/>
    <xf numFmtId="168" fontId="3" fillId="3" borderId="3" xfId="0" applyNumberFormat="1" applyFont="1" applyFill="1" applyBorder="1"/>
    <xf numFmtId="0" fontId="0" fillId="2" borderId="0" xfId="0" applyFont="1" applyFill="1" applyBorder="1" applyAlignment="1">
      <alignment horizontal="left" indent="1"/>
    </xf>
    <xf numFmtId="166" fontId="1" fillId="2" borderId="0" xfId="2" applyNumberFormat="1" applyFont="1" applyFill="1" applyBorder="1"/>
    <xf numFmtId="0" fontId="0" fillId="2" borderId="0" xfId="0" applyFont="1" applyFill="1" applyAlignment="1">
      <alignment horizontal="left" indent="2"/>
    </xf>
    <xf numFmtId="169" fontId="0" fillId="2" borderId="2" xfId="0" applyNumberFormat="1" applyFill="1" applyBorder="1"/>
    <xf numFmtId="37" fontId="3" fillId="3" borderId="3" xfId="0" applyNumberFormat="1" applyFont="1" applyFill="1" applyBorder="1"/>
    <xf numFmtId="170" fontId="0" fillId="2" borderId="0" xfId="0" applyNumberFormat="1" applyFont="1" applyFill="1"/>
    <xf numFmtId="170" fontId="0" fillId="2" borderId="0" xfId="0" applyNumberFormat="1" applyFill="1"/>
    <xf numFmtId="166" fontId="3" fillId="3" borderId="4" xfId="2" applyNumberFormat="1" applyFont="1" applyFill="1" applyBorder="1"/>
    <xf numFmtId="169" fontId="3" fillId="3" borderId="3" xfId="2" applyNumberFormat="1" applyFont="1" applyFill="1" applyBorder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4" borderId="0" xfId="0" applyFill="1"/>
    <xf numFmtId="166" fontId="7" fillId="2" borderId="0" xfId="2" applyNumberFormat="1" applyFont="1" applyFill="1" applyBorder="1"/>
    <xf numFmtId="168" fontId="7" fillId="2" borderId="0" xfId="0" applyNumberFormat="1" applyFont="1" applyFill="1" applyBorder="1"/>
    <xf numFmtId="0" fontId="2" fillId="2" borderId="0" xfId="0" quotePrefix="1" applyFont="1" applyFill="1"/>
    <xf numFmtId="166" fontId="0" fillId="2" borderId="0" xfId="2" applyNumberFormat="1" applyFont="1" applyFill="1" applyBorder="1"/>
    <xf numFmtId="166" fontId="2" fillId="2" borderId="2" xfId="0" applyNumberFormat="1" applyFont="1" applyFill="1" applyBorder="1"/>
    <xf numFmtId="166" fontId="2" fillId="2" borderId="2" xfId="2" applyNumberFormat="1" applyFont="1" applyFill="1" applyBorder="1"/>
    <xf numFmtId="166" fontId="2" fillId="2" borderId="7" xfId="0" applyNumberFormat="1" applyFont="1" applyFill="1" applyBorder="1"/>
    <xf numFmtId="166" fontId="2" fillId="2" borderId="0" xfId="2" applyNumberFormat="1" applyFont="1" applyFill="1" applyBorder="1"/>
    <xf numFmtId="169" fontId="3" fillId="2" borderId="3" xfId="0" applyNumberFormat="1" applyFont="1" applyFill="1" applyBorder="1"/>
    <xf numFmtId="166" fontId="3" fillId="2" borderId="0" xfId="2" applyNumberFormat="1" applyFont="1" applyFill="1"/>
    <xf numFmtId="169" fontId="5" fillId="2" borderId="2" xfId="0" applyNumberFormat="1" applyFont="1" applyFill="1" applyBorder="1"/>
    <xf numFmtId="169" fontId="8" fillId="2" borderId="2" xfId="0" applyNumberFormat="1" applyFont="1" applyFill="1" applyBorder="1"/>
    <xf numFmtId="0" fontId="0" fillId="2" borderId="0" xfId="0" applyFill="1" applyAlignment="1">
      <alignment horizontal="left" indent="3"/>
    </xf>
    <xf numFmtId="167" fontId="2" fillId="2" borderId="1" xfId="0" applyNumberFormat="1" applyFont="1" applyFill="1" applyBorder="1"/>
    <xf numFmtId="0" fontId="2" fillId="5" borderId="0" xfId="0" applyFont="1" applyFill="1"/>
    <xf numFmtId="164" fontId="2" fillId="5" borderId="0" xfId="0" applyNumberFormat="1" applyFont="1" applyFill="1"/>
    <xf numFmtId="165" fontId="2" fillId="5" borderId="0" xfId="0" applyNumberFormat="1" applyFont="1" applyFill="1"/>
    <xf numFmtId="166" fontId="5" fillId="2" borderId="0" xfId="0" applyNumberFormat="1" applyFont="1" applyFill="1"/>
    <xf numFmtId="0" fontId="0" fillId="5" borderId="0" xfId="0" applyFill="1"/>
    <xf numFmtId="0" fontId="2" fillId="5" borderId="0" xfId="0" applyFont="1" applyFill="1" applyBorder="1"/>
    <xf numFmtId="169" fontId="2" fillId="5" borderId="0" xfId="0" applyNumberFormat="1" applyFont="1" applyFill="1"/>
    <xf numFmtId="169" fontId="0" fillId="6" borderId="0" xfId="0" applyNumberFormat="1" applyFill="1"/>
    <xf numFmtId="0" fontId="8" fillId="3" borderId="3" xfId="0" applyFont="1" applyFill="1" applyBorder="1"/>
    <xf numFmtId="0" fontId="2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right" vertical="center" textRotation="90"/>
    </xf>
    <xf numFmtId="166" fontId="8" fillId="3" borderId="3" xfId="2" applyNumberFormat="1" applyFont="1" applyFill="1" applyBorder="1"/>
    <xf numFmtId="169" fontId="0" fillId="2" borderId="3" xfId="0" applyNumberFormat="1" applyFill="1" applyBorder="1"/>
    <xf numFmtId="166" fontId="0" fillId="2" borderId="3" xfId="2" applyNumberFormat="1" applyFont="1" applyFill="1" applyBorder="1"/>
    <xf numFmtId="169" fontId="2" fillId="2" borderId="3" xfId="0" applyNumberFormat="1" applyFont="1" applyFill="1" applyBorder="1"/>
    <xf numFmtId="169" fontId="0" fillId="2" borderId="4" xfId="0" applyNumberFormat="1" applyFill="1" applyBorder="1"/>
    <xf numFmtId="169" fontId="2" fillId="2" borderId="9" xfId="0" applyNumberFormat="1" applyFont="1" applyFill="1" applyBorder="1"/>
    <xf numFmtId="169" fontId="2" fillId="2" borderId="10" xfId="0" applyNumberFormat="1" applyFont="1" applyFill="1" applyBorder="1"/>
    <xf numFmtId="169" fontId="0" fillId="2" borderId="11" xfId="0" applyNumberFormat="1" applyFill="1" applyBorder="1"/>
    <xf numFmtId="169" fontId="2" fillId="2" borderId="8" xfId="0" applyNumberFormat="1" applyFont="1" applyFill="1" applyBorder="1"/>
    <xf numFmtId="169" fontId="4" fillId="2" borderId="3" xfId="2" applyNumberFormat="1" applyFont="1" applyFill="1" applyBorder="1" applyAlignment="1">
      <alignment horizontal="right"/>
    </xf>
    <xf numFmtId="169" fontId="4" fillId="2" borderId="4" xfId="2" applyNumberFormat="1" applyFont="1" applyFill="1" applyBorder="1" applyAlignment="1">
      <alignment horizontal="right"/>
    </xf>
    <xf numFmtId="169" fontId="4" fillId="2" borderId="3" xfId="0" applyNumberFormat="1" applyFont="1" applyFill="1" applyBorder="1"/>
    <xf numFmtId="169" fontId="8" fillId="2" borderId="0" xfId="0" applyNumberFormat="1" applyFont="1" applyFill="1" applyBorder="1"/>
    <xf numFmtId="166" fontId="1" fillId="2" borderId="3" xfId="2" applyNumberFormat="1" applyFont="1" applyFill="1" applyBorder="1"/>
    <xf numFmtId="169" fontId="0" fillId="2" borderId="9" xfId="0" applyNumberForma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28D0C-4F3B-4AE8-AFF9-5A7C67642DDE}">
  <dimension ref="B2:C11"/>
  <sheetViews>
    <sheetView workbookViewId="0">
      <selection activeCell="B2" sqref="B2"/>
    </sheetView>
  </sheetViews>
  <sheetFormatPr defaultRowHeight="15" x14ac:dyDescent="0.25"/>
  <cols>
    <col min="1" max="1" width="9.140625" style="1"/>
    <col min="2" max="2" width="5" style="1" bestFit="1" customWidth="1"/>
    <col min="3" max="16384" width="9.140625" style="1"/>
  </cols>
  <sheetData>
    <row r="2" spans="2:3" x14ac:dyDescent="0.25">
      <c r="B2" s="58" t="s">
        <v>137</v>
      </c>
    </row>
    <row r="3" spans="2:3" x14ac:dyDescent="0.25">
      <c r="B3" s="57">
        <v>1</v>
      </c>
      <c r="C3" s="1" t="s">
        <v>138</v>
      </c>
    </row>
    <row r="4" spans="2:3" x14ac:dyDescent="0.25">
      <c r="B4" s="57">
        <f>+B3+1</f>
        <v>2</v>
      </c>
      <c r="C4" s="1" t="s">
        <v>139</v>
      </c>
    </row>
    <row r="5" spans="2:3" x14ac:dyDescent="0.25">
      <c r="B5" s="57">
        <f t="shared" ref="B5:B11" si="0">+B4+1</f>
        <v>3</v>
      </c>
      <c r="C5" s="1" t="s">
        <v>140</v>
      </c>
    </row>
    <row r="6" spans="2:3" x14ac:dyDescent="0.25">
      <c r="B6" s="57">
        <f t="shared" si="0"/>
        <v>4</v>
      </c>
      <c r="C6" s="1" t="s">
        <v>141</v>
      </c>
    </row>
    <row r="7" spans="2:3" x14ac:dyDescent="0.25">
      <c r="B7" s="57">
        <f t="shared" si="0"/>
        <v>5</v>
      </c>
      <c r="C7" s="1" t="s">
        <v>142</v>
      </c>
    </row>
    <row r="8" spans="2:3" x14ac:dyDescent="0.25">
      <c r="B8" s="57">
        <f t="shared" si="0"/>
        <v>6</v>
      </c>
      <c r="C8" s="1" t="s">
        <v>143</v>
      </c>
    </row>
    <row r="9" spans="2:3" x14ac:dyDescent="0.25">
      <c r="B9" s="57">
        <f t="shared" si="0"/>
        <v>7</v>
      </c>
      <c r="C9" s="1" t="s">
        <v>144</v>
      </c>
    </row>
    <row r="10" spans="2:3" x14ac:dyDescent="0.25">
      <c r="B10" s="57">
        <f t="shared" si="0"/>
        <v>8</v>
      </c>
      <c r="C10" s="1" t="s">
        <v>145</v>
      </c>
    </row>
    <row r="11" spans="2:3" x14ac:dyDescent="0.25">
      <c r="B11" s="57">
        <f t="shared" si="0"/>
        <v>9</v>
      </c>
      <c r="C11" s="1" t="s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128D-CB10-4597-8DC4-75207C05DAF6}">
  <dimension ref="A2:L62"/>
  <sheetViews>
    <sheetView workbookViewId="0">
      <selection activeCell="D14" sqref="D14"/>
    </sheetView>
  </sheetViews>
  <sheetFormatPr defaultRowHeight="15" x14ac:dyDescent="0.25"/>
  <cols>
    <col min="1" max="1" width="4" style="1" customWidth="1"/>
    <col min="2" max="2" width="29.42578125" style="1" bestFit="1" customWidth="1"/>
    <col min="3" max="3" width="2.85546875" style="1" customWidth="1"/>
    <col min="4" max="16384" width="9.140625" style="1"/>
  </cols>
  <sheetData>
    <row r="2" spans="1:12" x14ac:dyDescent="0.25">
      <c r="A2" s="2">
        <v>1</v>
      </c>
      <c r="B2" s="2" t="s">
        <v>158</v>
      </c>
      <c r="C2" s="3"/>
      <c r="D2" s="3">
        <v>2017</v>
      </c>
      <c r="E2" s="3">
        <f t="shared" ref="E2:K2" si="0">+D2+1</f>
        <v>2018</v>
      </c>
      <c r="F2" s="3">
        <f t="shared" si="0"/>
        <v>2019</v>
      </c>
      <c r="G2" s="4">
        <f t="shared" si="0"/>
        <v>2020</v>
      </c>
      <c r="H2" s="4">
        <f t="shared" si="0"/>
        <v>2021</v>
      </c>
      <c r="I2" s="4">
        <f t="shared" si="0"/>
        <v>2022</v>
      </c>
      <c r="J2" s="4">
        <f t="shared" si="0"/>
        <v>2023</v>
      </c>
      <c r="K2" s="4">
        <f t="shared" si="0"/>
        <v>2024</v>
      </c>
    </row>
    <row r="3" spans="1:12" x14ac:dyDescent="0.25">
      <c r="B3" s="2" t="s">
        <v>90</v>
      </c>
      <c r="C3" s="27"/>
      <c r="D3" s="27">
        <f>+FS!D4</f>
        <v>1200</v>
      </c>
      <c r="E3" s="27">
        <f>+FS!E4</f>
        <v>1416</v>
      </c>
      <c r="F3" s="27">
        <f>+FS!F4</f>
        <v>1628.3999999999999</v>
      </c>
      <c r="G3" s="28">
        <f>+G5*G7</f>
        <v>0</v>
      </c>
      <c r="H3" s="28">
        <f>+H5*H7</f>
        <v>0</v>
      </c>
      <c r="I3" s="28">
        <f>+I5*I7</f>
        <v>0</v>
      </c>
      <c r="J3" s="28">
        <f>+J5*J7</f>
        <v>0</v>
      </c>
      <c r="K3" s="28">
        <f>+K5*K7</f>
        <v>0</v>
      </c>
    </row>
    <row r="4" spans="1:12" x14ac:dyDescent="0.25">
      <c r="B4" s="15" t="s">
        <v>89</v>
      </c>
      <c r="C4" s="8"/>
      <c r="D4" s="8" t="s">
        <v>10</v>
      </c>
      <c r="E4" s="7">
        <f t="shared" ref="E4:F4" si="1">+E3/D3-1</f>
        <v>0.17999999999999994</v>
      </c>
      <c r="F4" s="7">
        <f t="shared" si="1"/>
        <v>0.14999999999999991</v>
      </c>
      <c r="G4" s="7">
        <f t="shared" ref="G4" si="2">+G3/F3-1</f>
        <v>-1</v>
      </c>
      <c r="H4" s="7" t="e">
        <f t="shared" ref="H4" si="3">+H3/G3-1</f>
        <v>#DIV/0!</v>
      </c>
      <c r="I4" s="7" t="e">
        <f t="shared" ref="I4" si="4">+I3/H3-1</f>
        <v>#DIV/0!</v>
      </c>
      <c r="J4" s="7" t="e">
        <f t="shared" ref="J4" si="5">+J3/I3-1</f>
        <v>#DIV/0!</v>
      </c>
      <c r="K4" s="7" t="e">
        <f t="shared" ref="K4" si="6">+K3/J3-1</f>
        <v>#DIV/0!</v>
      </c>
    </row>
    <row r="5" spans="1:12" x14ac:dyDescent="0.25">
      <c r="B5" s="15" t="s">
        <v>87</v>
      </c>
      <c r="C5" s="19"/>
      <c r="D5" s="19">
        <v>2.5774999999999997</v>
      </c>
      <c r="E5" s="19">
        <v>2.6780224999999995</v>
      </c>
      <c r="F5" s="19">
        <v>2.7904994449999996</v>
      </c>
      <c r="G5" s="16">
        <f>+F5*(1+G6)</f>
        <v>2.7904994449999996</v>
      </c>
      <c r="H5" s="16">
        <f t="shared" ref="H5:K5" si="7">+G5*(1+H6)</f>
        <v>2.7904994449999996</v>
      </c>
      <c r="I5" s="16">
        <f t="shared" si="7"/>
        <v>2.7904994449999996</v>
      </c>
      <c r="J5" s="16">
        <f t="shared" si="7"/>
        <v>2.7904994449999996</v>
      </c>
      <c r="K5" s="16">
        <f t="shared" si="7"/>
        <v>2.7904994449999996</v>
      </c>
    </row>
    <row r="6" spans="1:12" x14ac:dyDescent="0.25">
      <c r="B6" s="39" t="s">
        <v>89</v>
      </c>
      <c r="C6" s="8"/>
      <c r="D6" s="7">
        <v>3.1E-2</v>
      </c>
      <c r="E6" s="7">
        <v>3.9E-2</v>
      </c>
      <c r="F6" s="7">
        <v>4.2000000000000003E-2</v>
      </c>
      <c r="G6" s="46"/>
      <c r="H6" s="46"/>
      <c r="I6" s="46"/>
      <c r="J6" s="46"/>
      <c r="K6" s="46"/>
    </row>
    <row r="7" spans="1:12" x14ac:dyDescent="0.25">
      <c r="B7" s="15" t="s">
        <v>88</v>
      </c>
      <c r="C7" s="16"/>
      <c r="D7" s="16">
        <f>+D3/D5</f>
        <v>465.56741028128039</v>
      </c>
      <c r="E7" s="16">
        <f>+E3/E5</f>
        <v>528.74835816353311</v>
      </c>
      <c r="F7" s="16">
        <f>+F3/F5</f>
        <v>583.55145094823706</v>
      </c>
      <c r="G7" s="16">
        <f>+G9*G11</f>
        <v>0</v>
      </c>
      <c r="H7" s="16">
        <f>+H9*H11</f>
        <v>0</v>
      </c>
      <c r="I7" s="16">
        <f>+I9*I11</f>
        <v>0</v>
      </c>
      <c r="J7" s="16">
        <f>+J9*J11</f>
        <v>0</v>
      </c>
      <c r="K7" s="16">
        <f>+K9*K11</f>
        <v>0</v>
      </c>
    </row>
    <row r="8" spans="1:12" x14ac:dyDescent="0.25">
      <c r="B8" s="39" t="s">
        <v>89</v>
      </c>
      <c r="C8" s="8"/>
      <c r="D8" s="8" t="s">
        <v>10</v>
      </c>
      <c r="E8" s="7">
        <f>+E7/D7-1</f>
        <v>0.1357074109720886</v>
      </c>
      <c r="F8" s="7">
        <f>+F7/E7-1</f>
        <v>0.10364683301343569</v>
      </c>
      <c r="G8" s="7">
        <f t="shared" ref="G8:K8" si="8">+G7/F7-1</f>
        <v>-1</v>
      </c>
      <c r="H8" s="7" t="e">
        <f t="shared" si="8"/>
        <v>#DIV/0!</v>
      </c>
      <c r="I8" s="7" t="e">
        <f t="shared" si="8"/>
        <v>#DIV/0!</v>
      </c>
      <c r="J8" s="7" t="e">
        <f t="shared" si="8"/>
        <v>#DIV/0!</v>
      </c>
      <c r="K8" s="7" t="e">
        <f t="shared" si="8"/>
        <v>#DIV/0!</v>
      </c>
      <c r="L8" s="9"/>
    </row>
    <row r="9" spans="1:12" x14ac:dyDescent="0.25">
      <c r="B9" s="39" t="s">
        <v>159</v>
      </c>
      <c r="C9" s="16"/>
      <c r="D9" s="19">
        <v>5801.5254599999998</v>
      </c>
      <c r="E9" s="19">
        <v>6103.2047839200004</v>
      </c>
      <c r="F9" s="19">
        <v>6377.8489991963997</v>
      </c>
      <c r="G9" s="16">
        <f>+F9*(1+G10)</f>
        <v>6377.8489991963997</v>
      </c>
      <c r="H9" s="16">
        <f t="shared" ref="H9" si="9">+G9*(1+H10)</f>
        <v>6377.8489991963997</v>
      </c>
      <c r="I9" s="16">
        <f t="shared" ref="I9" si="10">+H9*(1+I10)</f>
        <v>6377.8489991963997</v>
      </c>
      <c r="J9" s="16">
        <f t="shared" ref="J9" si="11">+I9*(1+J10)</f>
        <v>6377.8489991963997</v>
      </c>
      <c r="K9" s="16">
        <f t="shared" ref="K9" si="12">+J9*(1+K10)</f>
        <v>6377.8489991963997</v>
      </c>
    </row>
    <row r="10" spans="1:12" x14ac:dyDescent="0.25">
      <c r="B10" s="72" t="s">
        <v>89</v>
      </c>
      <c r="C10" s="16"/>
      <c r="D10" s="16"/>
      <c r="E10" s="7">
        <f>+E9/D9-1</f>
        <v>5.2000000000000046E-2</v>
      </c>
      <c r="F10" s="7">
        <f>+F9/E9-1</f>
        <v>4.4999999999999929E-2</v>
      </c>
      <c r="G10" s="46"/>
      <c r="H10" s="46"/>
      <c r="I10" s="46"/>
      <c r="J10" s="46"/>
      <c r="K10" s="46"/>
    </row>
    <row r="11" spans="1:12" x14ac:dyDescent="0.25">
      <c r="B11" s="72" t="s">
        <v>157</v>
      </c>
      <c r="C11" s="16"/>
      <c r="D11" s="7">
        <f>+D7/D9</f>
        <v>8.0249136798803328E-2</v>
      </c>
      <c r="E11" s="7">
        <f>+E7/E9</f>
        <v>8.6634543143074033E-2</v>
      </c>
      <c r="F11" s="7">
        <f>+F7/F9</f>
        <v>9.1496592506621552E-2</v>
      </c>
      <c r="G11" s="46"/>
      <c r="H11" s="46"/>
      <c r="I11" s="46"/>
      <c r="J11" s="46"/>
      <c r="K11" s="46"/>
    </row>
    <row r="12" spans="1:12" x14ac:dyDescent="0.25">
      <c r="B12" s="1" t="s">
        <v>1</v>
      </c>
      <c r="C12" s="32"/>
      <c r="D12" s="32">
        <f>+FS!D5</f>
        <v>-702</v>
      </c>
      <c r="E12" s="32">
        <f>+FS!E5</f>
        <v>-828.36</v>
      </c>
      <c r="F12" s="32">
        <f>+FS!F5</f>
        <v>-952.61399999999992</v>
      </c>
      <c r="G12" s="16">
        <f>+G13-G3</f>
        <v>0</v>
      </c>
      <c r="H12" s="16">
        <f>+H13-H3</f>
        <v>0</v>
      </c>
      <c r="I12" s="16">
        <f>+I13-I3</f>
        <v>0</v>
      </c>
      <c r="J12" s="16">
        <f>+J13-J3</f>
        <v>0</v>
      </c>
      <c r="K12" s="16">
        <f>+K13-K3</f>
        <v>0</v>
      </c>
    </row>
    <row r="13" spans="1:12" x14ac:dyDescent="0.25">
      <c r="B13" s="6" t="s">
        <v>2</v>
      </c>
      <c r="C13" s="36"/>
      <c r="D13" s="36">
        <f>+D3+D12</f>
        <v>498</v>
      </c>
      <c r="E13" s="36">
        <f>+E3+E12</f>
        <v>587.64</v>
      </c>
      <c r="F13" s="36">
        <f>+F3+F12</f>
        <v>675.78599999999994</v>
      </c>
      <c r="G13" s="17">
        <f>+G3*G14</f>
        <v>0</v>
      </c>
      <c r="H13" s="17">
        <f>+H3*H14</f>
        <v>0</v>
      </c>
      <c r="I13" s="17">
        <f>+I3*I14</f>
        <v>0</v>
      </c>
      <c r="J13" s="17">
        <f>+J3*J14</f>
        <v>0</v>
      </c>
      <c r="K13" s="17">
        <f>+K3*K14</f>
        <v>0</v>
      </c>
    </row>
    <row r="14" spans="1:12" s="21" customFormat="1" x14ac:dyDescent="0.25">
      <c r="B14" s="34" t="s">
        <v>13</v>
      </c>
      <c r="C14" s="33"/>
      <c r="D14" s="33">
        <f>+D13/D3</f>
        <v>0.41499999999999998</v>
      </c>
      <c r="E14" s="33">
        <f>+E13/E3</f>
        <v>0.41499999999999998</v>
      </c>
      <c r="F14" s="33">
        <f>+F13/F3</f>
        <v>0.41499999999999998</v>
      </c>
      <c r="G14" s="46"/>
      <c r="H14" s="46"/>
      <c r="I14" s="46"/>
      <c r="J14" s="46"/>
      <c r="K14" s="46"/>
    </row>
    <row r="15" spans="1:12" s="21" customFormat="1" x14ac:dyDescent="0.25">
      <c r="B15" s="21" t="str">
        <f>+FS!B7</f>
        <v>Selling Expenses</v>
      </c>
      <c r="C15" s="26"/>
      <c r="D15" s="26">
        <f>+FS!D7</f>
        <v>-85.199999999999989</v>
      </c>
      <c r="E15" s="26">
        <f>+FS!E7</f>
        <v>-99.827999999999989</v>
      </c>
      <c r="F15" s="26">
        <f>+FS!F7</f>
        <v>-113.988</v>
      </c>
      <c r="G15" s="29">
        <f>-G16*G3</f>
        <v>0</v>
      </c>
      <c r="H15" s="29">
        <f>-H16*H3</f>
        <v>0</v>
      </c>
      <c r="I15" s="29">
        <f>-I16*I3</f>
        <v>0</v>
      </c>
      <c r="J15" s="29">
        <f>-J16*J3</f>
        <v>0</v>
      </c>
      <c r="K15" s="29">
        <f>-K16*K3</f>
        <v>0</v>
      </c>
    </row>
    <row r="16" spans="1:12" x14ac:dyDescent="0.25">
      <c r="B16" s="15" t="s">
        <v>91</v>
      </c>
      <c r="C16" s="7"/>
      <c r="D16" s="7">
        <f>-D15/D3</f>
        <v>7.0999999999999994E-2</v>
      </c>
      <c r="E16" s="7">
        <f>-E15/E3</f>
        <v>7.0499999999999993E-2</v>
      </c>
      <c r="F16" s="7">
        <f>-F15/F3</f>
        <v>7.0000000000000007E-2</v>
      </c>
      <c r="G16" s="46"/>
      <c r="H16" s="46"/>
      <c r="I16" s="46"/>
      <c r="J16" s="46"/>
      <c r="K16" s="46"/>
    </row>
    <row r="17" spans="2:11" s="21" customFormat="1" x14ac:dyDescent="0.25">
      <c r="B17" s="21" t="str">
        <f>+FS!B8</f>
        <v>Administrative Expenses</v>
      </c>
      <c r="C17" s="26"/>
      <c r="D17" s="26">
        <f>+FS!D8</f>
        <v>-200.20000000000002</v>
      </c>
      <c r="E17" s="26">
        <f>+FS!E8</f>
        <v>-214.21400000000003</v>
      </c>
      <c r="F17" s="26">
        <f>+FS!F8</f>
        <v>-224.92470000000003</v>
      </c>
      <c r="G17" s="35">
        <f>+F17*(1+G18)</f>
        <v>-224.92470000000003</v>
      </c>
      <c r="H17" s="35">
        <f t="shared" ref="H17:K17" si="13">+G17*(1+H18)</f>
        <v>-224.92470000000003</v>
      </c>
      <c r="I17" s="35">
        <f t="shared" si="13"/>
        <v>-224.92470000000003</v>
      </c>
      <c r="J17" s="35">
        <f t="shared" si="13"/>
        <v>-224.92470000000003</v>
      </c>
      <c r="K17" s="35">
        <f t="shared" si="13"/>
        <v>-224.92470000000003</v>
      </c>
    </row>
    <row r="18" spans="2:11" x14ac:dyDescent="0.25">
      <c r="B18" s="15" t="s">
        <v>89</v>
      </c>
      <c r="C18" s="10"/>
      <c r="D18" s="8" t="s">
        <v>10</v>
      </c>
      <c r="E18" s="7">
        <f t="shared" ref="E18:F18" si="14">+E17/D17-1</f>
        <v>7.0000000000000062E-2</v>
      </c>
      <c r="F18" s="7">
        <f t="shared" si="14"/>
        <v>5.0000000000000044E-2</v>
      </c>
      <c r="G18" s="46"/>
      <c r="H18" s="46"/>
      <c r="I18" s="46"/>
      <c r="J18" s="46"/>
      <c r="K18" s="46"/>
    </row>
    <row r="19" spans="2:11" s="21" customFormat="1" x14ac:dyDescent="0.25">
      <c r="B19" s="21" t="str">
        <f>+FS!B9</f>
        <v>DA</v>
      </c>
      <c r="C19" s="26"/>
      <c r="D19" s="26">
        <f>+FS!D9</f>
        <v>-10</v>
      </c>
      <c r="E19" s="26">
        <f>+FS!E9</f>
        <v>-17.2</v>
      </c>
      <c r="F19" s="26">
        <f>+FS!F9</f>
        <v>-25.695999999999998</v>
      </c>
      <c r="G19" s="95"/>
      <c r="H19" s="95"/>
      <c r="I19" s="95"/>
      <c r="J19" s="95"/>
      <c r="K19" s="95"/>
    </row>
    <row r="20" spans="2:11" s="2" customFormat="1" x14ac:dyDescent="0.25">
      <c r="B20" s="6" t="s">
        <v>3</v>
      </c>
      <c r="C20" s="36"/>
      <c r="D20" s="36">
        <f t="shared" ref="D20:F20" si="15">+D13+D15+D17+D19</f>
        <v>202.6</v>
      </c>
      <c r="E20" s="36">
        <f t="shared" si="15"/>
        <v>256.39799999999997</v>
      </c>
      <c r="F20" s="36">
        <f t="shared" si="15"/>
        <v>311.17729999999995</v>
      </c>
      <c r="G20" s="36">
        <f t="shared" ref="G20" si="16">+G13+G15+G17+G19</f>
        <v>-224.92470000000003</v>
      </c>
      <c r="H20" s="36">
        <f t="shared" ref="H20" si="17">+H13+H15+H17+H19</f>
        <v>-224.92470000000003</v>
      </c>
      <c r="I20" s="36">
        <f t="shared" ref="I20" si="18">+I13+I15+I17+I19</f>
        <v>-224.92470000000003</v>
      </c>
      <c r="J20" s="36">
        <f t="shared" ref="J20" si="19">+J13+J15+J17+J19</f>
        <v>-224.92470000000003</v>
      </c>
      <c r="K20" s="36">
        <f t="shared" ref="K20" si="20">+K13+K15+K17+K19</f>
        <v>-224.92470000000003</v>
      </c>
    </row>
    <row r="21" spans="2:11" x14ac:dyDescent="0.25">
      <c r="B21" s="15" t="s">
        <v>11</v>
      </c>
      <c r="C21" s="9"/>
      <c r="D21" s="9">
        <f t="shared" ref="D21:K21" si="21">+D20/D3</f>
        <v>0.16883333333333334</v>
      </c>
      <c r="E21" s="9">
        <f t="shared" si="21"/>
        <v>0.18107203389830506</v>
      </c>
      <c r="F21" s="9">
        <f t="shared" si="21"/>
        <v>0.1910938958486858</v>
      </c>
      <c r="G21" s="9" t="e">
        <f t="shared" si="21"/>
        <v>#DIV/0!</v>
      </c>
      <c r="H21" s="9" t="e">
        <f t="shared" si="21"/>
        <v>#DIV/0!</v>
      </c>
      <c r="I21" s="9" t="e">
        <f t="shared" si="21"/>
        <v>#DIV/0!</v>
      </c>
      <c r="J21" s="9" t="e">
        <f t="shared" si="21"/>
        <v>#DIV/0!</v>
      </c>
      <c r="K21" s="9" t="e">
        <f t="shared" si="21"/>
        <v>#DIV/0!</v>
      </c>
    </row>
    <row r="22" spans="2:11" s="21" customFormat="1" x14ac:dyDescent="0.25">
      <c r="B22" s="21" t="s">
        <v>6</v>
      </c>
      <c r="C22" s="26"/>
      <c r="D22" s="26">
        <f>+FS!D11</f>
        <v>-5.3999999999999995</v>
      </c>
      <c r="E22" s="26">
        <f>+FS!E11</f>
        <v>-4.4420594376715759</v>
      </c>
      <c r="F22" s="26">
        <f>+FS!F11</f>
        <v>-3.4266424416034469</v>
      </c>
      <c r="G22" s="94"/>
      <c r="H22" s="94"/>
      <c r="I22" s="94"/>
      <c r="J22" s="94"/>
      <c r="K22" s="94"/>
    </row>
    <row r="23" spans="2:11" s="21" customFormat="1" x14ac:dyDescent="0.25">
      <c r="B23" s="21" t="s">
        <v>5</v>
      </c>
      <c r="C23" s="30"/>
      <c r="D23" s="30">
        <f t="shared" ref="D23:F23" si="22">+D20+D22</f>
        <v>197.2</v>
      </c>
      <c r="E23" s="30">
        <f t="shared" si="22"/>
        <v>251.95594056232838</v>
      </c>
      <c r="F23" s="30">
        <f t="shared" si="22"/>
        <v>307.75065755839648</v>
      </c>
      <c r="G23" s="30">
        <f t="shared" ref="G23" si="23">+G20+G22</f>
        <v>-224.92470000000003</v>
      </c>
      <c r="H23" s="30">
        <f t="shared" ref="H23" si="24">+H20+H22</f>
        <v>-224.92470000000003</v>
      </c>
      <c r="I23" s="30">
        <f t="shared" ref="I23" si="25">+I20+I22</f>
        <v>-224.92470000000003</v>
      </c>
      <c r="J23" s="30">
        <f t="shared" ref="J23" si="26">+J20+J22</f>
        <v>-224.92470000000003</v>
      </c>
      <c r="K23" s="30">
        <f t="shared" ref="K23" si="27">+K20+K22</f>
        <v>-224.92470000000003</v>
      </c>
    </row>
    <row r="24" spans="2:11" s="21" customFormat="1" x14ac:dyDescent="0.25">
      <c r="B24" s="21" t="str">
        <f>+FS!B13</f>
        <v>Tax Expense</v>
      </c>
      <c r="C24" s="26"/>
      <c r="D24" s="26">
        <f>+FS!D13</f>
        <v>-44.645999999999994</v>
      </c>
      <c r="E24" s="26">
        <f>+FS!E13</f>
        <v>-57.455579999999991</v>
      </c>
      <c r="F24" s="26">
        <f>+FS!F13</f>
        <v>-71.417139599999999</v>
      </c>
      <c r="G24" s="35">
        <f>+G23*-G25</f>
        <v>0</v>
      </c>
      <c r="H24" s="35">
        <f t="shared" ref="H24:K24" si="28">+H23*-H25</f>
        <v>0</v>
      </c>
      <c r="I24" s="35">
        <f t="shared" si="28"/>
        <v>0</v>
      </c>
      <c r="J24" s="35">
        <f t="shared" si="28"/>
        <v>0</v>
      </c>
      <c r="K24" s="35">
        <f t="shared" si="28"/>
        <v>0</v>
      </c>
    </row>
    <row r="25" spans="2:11" x14ac:dyDescent="0.25">
      <c r="B25" s="15" t="s">
        <v>92</v>
      </c>
      <c r="C25" s="9"/>
      <c r="D25" s="9">
        <f t="shared" ref="D25:F25" si="29">-D24/D23</f>
        <v>0.22639959432048679</v>
      </c>
      <c r="E25" s="9">
        <f t="shared" si="29"/>
        <v>0.2280382033135144</v>
      </c>
      <c r="F25" s="9">
        <f t="shared" si="29"/>
        <v>0.23206169620108258</v>
      </c>
      <c r="G25" s="55"/>
      <c r="H25" s="55"/>
      <c r="I25" s="55"/>
      <c r="J25" s="55"/>
      <c r="K25" s="55"/>
    </row>
    <row r="26" spans="2:11" s="21" customFormat="1" x14ac:dyDescent="0.25">
      <c r="B26" s="6" t="s">
        <v>93</v>
      </c>
      <c r="C26" s="36"/>
      <c r="D26" s="36">
        <f t="shared" ref="D26:K26" si="30">+D23+D24</f>
        <v>152.554</v>
      </c>
      <c r="E26" s="36">
        <f t="shared" si="30"/>
        <v>194.50036056232838</v>
      </c>
      <c r="F26" s="36">
        <f t="shared" si="30"/>
        <v>236.3335179583965</v>
      </c>
      <c r="G26" s="36">
        <f t="shared" si="30"/>
        <v>-224.92470000000003</v>
      </c>
      <c r="H26" s="36">
        <f t="shared" si="30"/>
        <v>-224.92470000000003</v>
      </c>
      <c r="I26" s="36">
        <f t="shared" si="30"/>
        <v>-224.92470000000003</v>
      </c>
      <c r="J26" s="36">
        <f t="shared" si="30"/>
        <v>-224.92470000000003</v>
      </c>
      <c r="K26" s="36">
        <f t="shared" si="30"/>
        <v>-224.92470000000003</v>
      </c>
    </row>
    <row r="27" spans="2:11" x14ac:dyDescent="0.25">
      <c r="B27" s="37" t="s">
        <v>12</v>
      </c>
      <c r="C27" s="38"/>
      <c r="D27" s="38">
        <f t="shared" ref="D27:K27" si="31">+D26/D3</f>
        <v>0.12712833333333334</v>
      </c>
      <c r="E27" s="38">
        <f t="shared" si="31"/>
        <v>0.13735901169655959</v>
      </c>
      <c r="F27" s="38">
        <f t="shared" si="31"/>
        <v>0.14513234952001752</v>
      </c>
      <c r="G27" s="38" t="e">
        <f t="shared" si="31"/>
        <v>#DIV/0!</v>
      </c>
      <c r="H27" s="38" t="e">
        <f t="shared" si="31"/>
        <v>#DIV/0!</v>
      </c>
      <c r="I27" s="38" t="e">
        <f t="shared" si="31"/>
        <v>#DIV/0!</v>
      </c>
      <c r="J27" s="38" t="e">
        <f t="shared" si="31"/>
        <v>#DIV/0!</v>
      </c>
      <c r="K27" s="38" t="e">
        <f t="shared" si="31"/>
        <v>#DIV/0!</v>
      </c>
    </row>
    <row r="29" spans="2:11" x14ac:dyDescent="0.25">
      <c r="B29" s="1" t="s">
        <v>3</v>
      </c>
      <c r="C29" s="11"/>
      <c r="D29" s="11">
        <f t="shared" ref="D29:K29" si="32">+D20</f>
        <v>202.6</v>
      </c>
      <c r="E29" s="11">
        <f t="shared" si="32"/>
        <v>256.39799999999997</v>
      </c>
      <c r="F29" s="11">
        <f t="shared" si="32"/>
        <v>311.17729999999995</v>
      </c>
      <c r="G29" s="11">
        <f t="shared" si="32"/>
        <v>-224.92470000000003</v>
      </c>
      <c r="H29" s="11">
        <f t="shared" si="32"/>
        <v>-224.92470000000003</v>
      </c>
      <c r="I29" s="11">
        <f t="shared" si="32"/>
        <v>-224.92470000000003</v>
      </c>
      <c r="J29" s="11">
        <f t="shared" si="32"/>
        <v>-224.92470000000003</v>
      </c>
      <c r="K29" s="11">
        <f t="shared" si="32"/>
        <v>-224.92470000000003</v>
      </c>
    </row>
    <row r="30" spans="2:11" x14ac:dyDescent="0.25">
      <c r="B30" s="1" t="s">
        <v>84</v>
      </c>
      <c r="C30" s="31"/>
      <c r="D30" s="31">
        <f>+FS!D17</f>
        <v>10</v>
      </c>
      <c r="E30" s="31">
        <f>+FS!E17</f>
        <v>17.2</v>
      </c>
      <c r="F30" s="31">
        <f>+FS!F17</f>
        <v>25.695999999999998</v>
      </c>
      <c r="G30" s="95"/>
      <c r="H30" s="95"/>
      <c r="I30" s="95"/>
      <c r="J30" s="95"/>
      <c r="K30" s="95"/>
    </row>
    <row r="31" spans="2:11" x14ac:dyDescent="0.25">
      <c r="B31" s="6" t="s">
        <v>86</v>
      </c>
      <c r="C31" s="73"/>
      <c r="D31" s="73">
        <f t="shared" ref="D31:F31" si="33">+D29+D30</f>
        <v>212.6</v>
      </c>
      <c r="E31" s="73">
        <f t="shared" si="33"/>
        <v>273.59799999999996</v>
      </c>
      <c r="F31" s="73">
        <f t="shared" si="33"/>
        <v>336.87329999999997</v>
      </c>
      <c r="G31" s="73">
        <f t="shared" ref="G31" si="34">+G29+G30</f>
        <v>-224.92470000000003</v>
      </c>
      <c r="H31" s="73">
        <f t="shared" ref="H31" si="35">+H29+H30</f>
        <v>-224.92470000000003</v>
      </c>
      <c r="I31" s="73">
        <f t="shared" ref="I31" si="36">+I29+I30</f>
        <v>-224.92470000000003</v>
      </c>
      <c r="J31" s="73">
        <f t="shared" ref="J31" si="37">+J29+J30</f>
        <v>-224.92470000000003</v>
      </c>
      <c r="K31" s="73">
        <f t="shared" ref="K31" si="38">+K29+K30</f>
        <v>-224.92470000000003</v>
      </c>
    </row>
    <row r="32" spans="2:11" x14ac:dyDescent="0.25">
      <c r="B32" s="15" t="s">
        <v>85</v>
      </c>
      <c r="C32" s="8"/>
      <c r="D32" s="8">
        <f t="shared" ref="D32:K32" si="39">+D31/D3</f>
        <v>0.17716666666666667</v>
      </c>
      <c r="E32" s="8">
        <f t="shared" si="39"/>
        <v>0.19321892655367229</v>
      </c>
      <c r="F32" s="8">
        <f t="shared" si="39"/>
        <v>0.20687380250552689</v>
      </c>
      <c r="G32" s="8" t="e">
        <f t="shared" si="39"/>
        <v>#DIV/0!</v>
      </c>
      <c r="H32" s="8" t="e">
        <f t="shared" si="39"/>
        <v>#DIV/0!</v>
      </c>
      <c r="I32" s="8" t="e">
        <f t="shared" si="39"/>
        <v>#DIV/0!</v>
      </c>
      <c r="J32" s="8" t="e">
        <f t="shared" si="39"/>
        <v>#DIV/0!</v>
      </c>
      <c r="K32" s="8" t="e">
        <f t="shared" si="39"/>
        <v>#DIV/0!</v>
      </c>
    </row>
    <row r="34" spans="1:11" x14ac:dyDescent="0.25">
      <c r="A34" s="2">
        <v>2</v>
      </c>
      <c r="B34" s="2" t="s">
        <v>14</v>
      </c>
      <c r="C34" s="3"/>
      <c r="D34" s="3">
        <v>2017</v>
      </c>
      <c r="E34" s="3">
        <f t="shared" ref="E34:K34" si="40">+D34+1</f>
        <v>2018</v>
      </c>
      <c r="F34" s="3">
        <f t="shared" si="40"/>
        <v>2019</v>
      </c>
      <c r="G34" s="4">
        <f t="shared" si="40"/>
        <v>2020</v>
      </c>
      <c r="H34" s="4">
        <f t="shared" si="40"/>
        <v>2021</v>
      </c>
      <c r="I34" s="4">
        <f t="shared" si="40"/>
        <v>2022</v>
      </c>
      <c r="J34" s="4">
        <f t="shared" si="40"/>
        <v>2023</v>
      </c>
      <c r="K34" s="4">
        <f t="shared" si="40"/>
        <v>2024</v>
      </c>
    </row>
    <row r="35" spans="1:11" x14ac:dyDescent="0.25">
      <c r="B35" s="21" t="s">
        <v>16</v>
      </c>
      <c r="C35" s="32"/>
      <c r="D35" s="32">
        <f>+FS!D30</f>
        <v>108.49315068493151</v>
      </c>
      <c r="E35" s="32">
        <f>+FS!E30</f>
        <v>120.26301369863013</v>
      </c>
      <c r="F35" s="32">
        <f>+FS!F30</f>
        <v>133.84109589041094</v>
      </c>
      <c r="G35" s="16" t="e">
        <f>+G3/G36</f>
        <v>#DIV/0!</v>
      </c>
      <c r="H35" s="16" t="e">
        <f>+H3/H36</f>
        <v>#DIV/0!</v>
      </c>
      <c r="I35" s="16" t="e">
        <f>+I3/I36</f>
        <v>#DIV/0!</v>
      </c>
      <c r="J35" s="16" t="e">
        <f>+J3/J36</f>
        <v>#DIV/0!</v>
      </c>
      <c r="K35" s="16" t="e">
        <f>+K3/K36</f>
        <v>#DIV/0!</v>
      </c>
    </row>
    <row r="36" spans="1:11" x14ac:dyDescent="0.25">
      <c r="B36" s="15" t="s">
        <v>35</v>
      </c>
      <c r="C36" s="24"/>
      <c r="D36" s="16">
        <f>+FS!D4/AVERAGE(C35:D35)</f>
        <v>11.060606060606061</v>
      </c>
      <c r="E36" s="16">
        <f>+FS!E4/AVERAGE(D35:E35)</f>
        <v>12.379994251221616</v>
      </c>
      <c r="F36" s="16">
        <f>+FS!F4/AVERAGE(E35:F35)</f>
        <v>12.816793893129772</v>
      </c>
      <c r="G36" s="16" t="e">
        <f>365/G37</f>
        <v>#DIV/0!</v>
      </c>
      <c r="H36" s="16" t="e">
        <f t="shared" ref="H36:K36" si="41">365/H37</f>
        <v>#DIV/0!</v>
      </c>
      <c r="I36" s="16" t="e">
        <f t="shared" si="41"/>
        <v>#DIV/0!</v>
      </c>
      <c r="J36" s="16" t="e">
        <f t="shared" si="41"/>
        <v>#DIV/0!</v>
      </c>
      <c r="K36" s="16" t="e">
        <f t="shared" si="41"/>
        <v>#DIV/0!</v>
      </c>
    </row>
    <row r="37" spans="1:11" x14ac:dyDescent="0.25">
      <c r="B37" s="15" t="s">
        <v>36</v>
      </c>
      <c r="C37" s="24"/>
      <c r="D37" s="16">
        <f>365/D36</f>
        <v>33</v>
      </c>
      <c r="E37" s="16">
        <f>365/E36</f>
        <v>29.483050847457626</v>
      </c>
      <c r="F37" s="16">
        <f>365/F36</f>
        <v>28.478260869565215</v>
      </c>
      <c r="G37" s="56"/>
      <c r="H37" s="56"/>
      <c r="I37" s="56"/>
      <c r="J37" s="56"/>
      <c r="K37" s="56"/>
    </row>
    <row r="38" spans="1:11" x14ac:dyDescent="0.25">
      <c r="B38" s="1" t="s">
        <v>17</v>
      </c>
      <c r="C38" s="32"/>
      <c r="D38" s="32">
        <f>+FS!D31</f>
        <v>85.009315068493152</v>
      </c>
      <c r="E38" s="32">
        <f>+FS!E31</f>
        <v>94.183397260273978</v>
      </c>
      <c r="F38" s="32">
        <f>+FS!F31</f>
        <v>104.39605479452054</v>
      </c>
      <c r="G38" s="16" t="e">
        <f>-G$12/G39</f>
        <v>#DIV/0!</v>
      </c>
      <c r="H38" s="16" t="e">
        <f t="shared" ref="H38:K38" si="42">-H$12/H39</f>
        <v>#DIV/0!</v>
      </c>
      <c r="I38" s="16" t="e">
        <f t="shared" si="42"/>
        <v>#DIV/0!</v>
      </c>
      <c r="J38" s="16" t="e">
        <f t="shared" si="42"/>
        <v>#DIV/0!</v>
      </c>
      <c r="K38" s="16" t="e">
        <f t="shared" si="42"/>
        <v>#DIV/0!</v>
      </c>
    </row>
    <row r="39" spans="1:11" x14ac:dyDescent="0.25">
      <c r="B39" s="15" t="s">
        <v>37</v>
      </c>
      <c r="C39" s="24"/>
      <c r="D39" s="16">
        <f>-FS!D5/AVERAGE(C38:D38)</f>
        <v>8.2579185520361982</v>
      </c>
      <c r="E39" s="16">
        <f>-FS!E5/AVERAGE(D38:E38)</f>
        <v>9.2454652785231293</v>
      </c>
      <c r="F39" s="16">
        <f>-FS!F5/AVERAGE(E38:F38)</f>
        <v>9.5942857142857143</v>
      </c>
      <c r="G39" s="16" t="e">
        <f>365/G40</f>
        <v>#DIV/0!</v>
      </c>
      <c r="H39" s="16" t="e">
        <f t="shared" ref="H39:K39" si="43">365/H40</f>
        <v>#DIV/0!</v>
      </c>
      <c r="I39" s="16" t="e">
        <f t="shared" si="43"/>
        <v>#DIV/0!</v>
      </c>
      <c r="J39" s="16" t="e">
        <f t="shared" si="43"/>
        <v>#DIV/0!</v>
      </c>
      <c r="K39" s="16" t="e">
        <f t="shared" si="43"/>
        <v>#DIV/0!</v>
      </c>
    </row>
    <row r="40" spans="1:11" x14ac:dyDescent="0.25">
      <c r="B40" s="15" t="s">
        <v>38</v>
      </c>
      <c r="C40" s="24"/>
      <c r="D40" s="16">
        <f>365/D39</f>
        <v>44.2</v>
      </c>
      <c r="E40" s="16">
        <f>365/E39</f>
        <v>39.478813559322035</v>
      </c>
      <c r="F40" s="16">
        <f>365/F39</f>
        <v>38.043478260869563</v>
      </c>
      <c r="G40" s="56"/>
      <c r="H40" s="56"/>
      <c r="I40" s="56"/>
      <c r="J40" s="56"/>
      <c r="K40" s="56"/>
    </row>
    <row r="41" spans="1:11" x14ac:dyDescent="0.25">
      <c r="B41" s="1" t="s">
        <v>18</v>
      </c>
      <c r="C41" s="32"/>
      <c r="D41" s="32">
        <f>+FS!D32</f>
        <v>12</v>
      </c>
      <c r="E41" s="32">
        <f>+FS!E32</f>
        <v>11</v>
      </c>
      <c r="F41" s="32">
        <f>+FS!F32</f>
        <v>11</v>
      </c>
      <c r="G41" s="56"/>
      <c r="H41" s="56"/>
      <c r="I41" s="56"/>
      <c r="J41" s="56"/>
      <c r="K41" s="56"/>
    </row>
    <row r="42" spans="1:11" x14ac:dyDescent="0.25">
      <c r="B42" s="1" t="s">
        <v>21</v>
      </c>
      <c r="C42" s="32"/>
      <c r="D42" s="32">
        <f>+FS!D35</f>
        <v>15</v>
      </c>
      <c r="E42" s="32">
        <f>+FS!E35</f>
        <v>15</v>
      </c>
      <c r="F42" s="32">
        <f>+FS!F35</f>
        <v>15</v>
      </c>
      <c r="G42" s="56"/>
      <c r="H42" s="56"/>
      <c r="I42" s="56"/>
      <c r="J42" s="56"/>
      <c r="K42" s="56"/>
    </row>
    <row r="43" spans="1:11" x14ac:dyDescent="0.25">
      <c r="B43" s="1" t="s">
        <v>22</v>
      </c>
      <c r="C43" s="32"/>
      <c r="D43" s="32">
        <f>+FS!D36</f>
        <v>7.6</v>
      </c>
      <c r="E43" s="32">
        <f>+FS!E36</f>
        <v>8</v>
      </c>
      <c r="F43" s="32">
        <f>+FS!F36</f>
        <v>8.5</v>
      </c>
      <c r="G43" s="56"/>
      <c r="H43" s="56"/>
      <c r="I43" s="56"/>
      <c r="J43" s="56"/>
      <c r="K43" s="56"/>
    </row>
    <row r="44" spans="1:11" x14ac:dyDescent="0.25">
      <c r="B44" s="1" t="s">
        <v>25</v>
      </c>
      <c r="C44" s="32"/>
      <c r="D44" s="32">
        <f>+FS!D39</f>
        <v>48.659178082191787</v>
      </c>
      <c r="E44" s="32">
        <f>+FS!E39</f>
        <v>58.325621917808213</v>
      </c>
      <c r="F44" s="32">
        <f>+FS!F39</f>
        <v>66.552484931506854</v>
      </c>
      <c r="G44" s="16" t="e">
        <f>-G$12/G45</f>
        <v>#DIV/0!</v>
      </c>
      <c r="H44" s="16" t="e">
        <f t="shared" ref="H44" si="44">-H$12/H45</f>
        <v>#DIV/0!</v>
      </c>
      <c r="I44" s="16" t="e">
        <f t="shared" ref="I44" si="45">-I$12/I45</f>
        <v>#DIV/0!</v>
      </c>
      <c r="J44" s="16" t="e">
        <f t="shared" ref="J44" si="46">-J$12/J45</f>
        <v>#DIV/0!</v>
      </c>
      <c r="K44" s="16" t="e">
        <f t="shared" ref="K44" si="47">-K$12/K45</f>
        <v>#DIV/0!</v>
      </c>
    </row>
    <row r="45" spans="1:11" x14ac:dyDescent="0.25">
      <c r="B45" s="15" t="s">
        <v>39</v>
      </c>
      <c r="C45" s="24"/>
      <c r="D45" s="16">
        <f>-FS!D5/AVERAGE(C44:D44)</f>
        <v>14.426877470355729</v>
      </c>
      <c r="E45" s="16">
        <f>-FS!E5/AVERAGE(D44:E44)</f>
        <v>15.485564304461942</v>
      </c>
      <c r="F45" s="16">
        <f>-FS!F5/AVERAGE(E44:F44)</f>
        <v>15.256701499318492</v>
      </c>
      <c r="G45" s="16" t="e">
        <f>365/G46</f>
        <v>#DIV/0!</v>
      </c>
      <c r="H45" s="16" t="e">
        <f t="shared" ref="H45:K45" si="48">365/H46</f>
        <v>#DIV/0!</v>
      </c>
      <c r="I45" s="16" t="e">
        <f t="shared" si="48"/>
        <v>#DIV/0!</v>
      </c>
      <c r="J45" s="16" t="e">
        <f t="shared" si="48"/>
        <v>#DIV/0!</v>
      </c>
      <c r="K45" s="16" t="e">
        <f t="shared" si="48"/>
        <v>#DIV/0!</v>
      </c>
    </row>
    <row r="46" spans="1:11" x14ac:dyDescent="0.25">
      <c r="B46" s="15" t="s">
        <v>40</v>
      </c>
      <c r="C46" s="24"/>
      <c r="D46" s="16">
        <f>365/D45</f>
        <v>25.300000000000004</v>
      </c>
      <c r="E46" s="16">
        <f>365/E45</f>
        <v>23.570338983050849</v>
      </c>
      <c r="F46" s="16">
        <f>365/F45</f>
        <v>23.923913043478262</v>
      </c>
      <c r="G46" s="56"/>
      <c r="H46" s="56"/>
      <c r="I46" s="56"/>
      <c r="J46" s="56"/>
      <c r="K46" s="56"/>
    </row>
    <row r="47" spans="1:11" x14ac:dyDescent="0.25">
      <c r="B47" s="1" t="s">
        <v>26</v>
      </c>
      <c r="C47" s="32"/>
      <c r="D47" s="32">
        <f>+FS!D40</f>
        <v>3.1</v>
      </c>
      <c r="E47" s="32">
        <f>+FS!E40</f>
        <v>3.5</v>
      </c>
      <c r="F47" s="32">
        <f>+FS!F40</f>
        <v>3.6</v>
      </c>
      <c r="G47" s="56"/>
      <c r="H47" s="56"/>
      <c r="I47" s="56"/>
      <c r="J47" s="56"/>
      <c r="K47" s="56"/>
    </row>
    <row r="48" spans="1:11" x14ac:dyDescent="0.25">
      <c r="B48" s="1" t="s">
        <v>28</v>
      </c>
      <c r="C48" s="32"/>
      <c r="D48" s="32">
        <f>+FS!D43</f>
        <v>5.4</v>
      </c>
      <c r="E48" s="32">
        <f>+FS!E43</f>
        <v>5.8</v>
      </c>
      <c r="F48" s="32">
        <f>+FS!F43</f>
        <v>6.2</v>
      </c>
      <c r="G48" s="56"/>
      <c r="H48" s="56"/>
      <c r="I48" s="56"/>
      <c r="J48" s="56"/>
      <c r="K48" s="56"/>
    </row>
    <row r="49" spans="2:11" x14ac:dyDescent="0.25">
      <c r="B49" s="1" t="s">
        <v>32</v>
      </c>
      <c r="C49" s="32"/>
      <c r="D49" s="32">
        <f>+FS!D46</f>
        <v>100</v>
      </c>
      <c r="E49" s="32">
        <f>+FS!E46</f>
        <v>100</v>
      </c>
      <c r="F49" s="32">
        <f>+FS!F46</f>
        <v>100</v>
      </c>
      <c r="G49" s="56"/>
      <c r="H49" s="56"/>
      <c r="I49" s="56"/>
      <c r="J49" s="56"/>
      <c r="K49" s="56"/>
    </row>
    <row r="51" spans="2:11" x14ac:dyDescent="0.25">
      <c r="B51" s="1" t="s">
        <v>80</v>
      </c>
      <c r="C51" s="16"/>
      <c r="D51" s="16">
        <f t="shared" ref="D51:K51" si="49">+D35+D38-D44</f>
        <v>144.84328767123287</v>
      </c>
      <c r="E51" s="16">
        <f t="shared" si="49"/>
        <v>156.12078904109589</v>
      </c>
      <c r="F51" s="16">
        <f t="shared" si="49"/>
        <v>171.68466575342461</v>
      </c>
      <c r="G51" s="16" t="e">
        <f t="shared" si="49"/>
        <v>#DIV/0!</v>
      </c>
      <c r="H51" s="16" t="e">
        <f t="shared" si="49"/>
        <v>#DIV/0!</v>
      </c>
      <c r="I51" s="16" t="e">
        <f t="shared" si="49"/>
        <v>#DIV/0!</v>
      </c>
      <c r="J51" s="16" t="e">
        <f t="shared" si="49"/>
        <v>#DIV/0!</v>
      </c>
      <c r="K51" s="16" t="e">
        <f t="shared" si="49"/>
        <v>#DIV/0!</v>
      </c>
    </row>
    <row r="52" spans="2:11" x14ac:dyDescent="0.25">
      <c r="B52" s="6" t="s">
        <v>100</v>
      </c>
      <c r="C52" s="6"/>
      <c r="D52" s="17">
        <f>-D51+C51</f>
        <v>-144.84328767123287</v>
      </c>
      <c r="E52" s="17">
        <f t="shared" ref="E52:K52" si="50">-E51+D51</f>
        <v>-11.277501369863018</v>
      </c>
      <c r="F52" s="17">
        <f t="shared" si="50"/>
        <v>-15.563876712328721</v>
      </c>
      <c r="G52" s="17" t="e">
        <f t="shared" si="50"/>
        <v>#DIV/0!</v>
      </c>
      <c r="H52" s="17" t="e">
        <f t="shared" si="50"/>
        <v>#DIV/0!</v>
      </c>
      <c r="I52" s="17" t="e">
        <f t="shared" si="50"/>
        <v>#DIV/0!</v>
      </c>
      <c r="J52" s="17" t="e">
        <f t="shared" si="50"/>
        <v>#DIV/0!</v>
      </c>
      <c r="K52" s="17" t="e">
        <f t="shared" si="50"/>
        <v>#DIV/0!</v>
      </c>
    </row>
    <row r="54" spans="2:11" x14ac:dyDescent="0.25">
      <c r="B54" s="2" t="s">
        <v>83</v>
      </c>
      <c r="C54" s="14"/>
      <c r="D54" s="14"/>
      <c r="E54" s="14"/>
      <c r="F54" s="14"/>
    </row>
    <row r="55" spans="2:11" x14ac:dyDescent="0.25">
      <c r="B55" s="1" t="s">
        <v>79</v>
      </c>
      <c r="C55" s="7"/>
      <c r="D55" s="69"/>
      <c r="E55" s="69"/>
      <c r="F55" s="69"/>
      <c r="G55" s="46"/>
      <c r="H55" s="46"/>
      <c r="I55" s="46"/>
      <c r="J55" s="46"/>
      <c r="K55" s="46"/>
    </row>
    <row r="56" spans="2:11" x14ac:dyDescent="0.25">
      <c r="B56" s="12" t="s">
        <v>66</v>
      </c>
      <c r="C56" s="18"/>
      <c r="D56" s="71">
        <v>91.532399999999996</v>
      </c>
      <c r="E56" s="71">
        <v>116.70021633739702</v>
      </c>
      <c r="F56" s="71">
        <v>141.80011077503789</v>
      </c>
      <c r="G56" s="18">
        <f>+G55*FS!G14</f>
        <v>0</v>
      </c>
      <c r="H56" s="18">
        <f>+H55*FS!H14</f>
        <v>0</v>
      </c>
      <c r="I56" s="18">
        <f>+I55*FS!I14</f>
        <v>0</v>
      </c>
      <c r="J56" s="18">
        <f>+J55*FS!J14</f>
        <v>0</v>
      </c>
      <c r="K56" s="18">
        <f>+K55*FS!K14</f>
        <v>0</v>
      </c>
    </row>
    <row r="57" spans="2:11" x14ac:dyDescent="0.25">
      <c r="B57" s="22"/>
      <c r="C57" s="23"/>
      <c r="D57" s="23"/>
      <c r="E57" s="23"/>
      <c r="F57" s="23"/>
    </row>
    <row r="58" spans="2:11" x14ac:dyDescent="0.25">
      <c r="B58" s="2" t="s">
        <v>33</v>
      </c>
      <c r="C58" s="14"/>
      <c r="D58" s="14"/>
      <c r="E58" s="14"/>
      <c r="F58" s="14"/>
    </row>
    <row r="59" spans="2:11" x14ac:dyDescent="0.25">
      <c r="B59" s="1" t="s">
        <v>81</v>
      </c>
      <c r="C59" s="16"/>
      <c r="D59" s="16"/>
      <c r="E59" s="16">
        <f>+D62</f>
        <v>311.02159999999998</v>
      </c>
      <c r="F59" s="16">
        <f>+E62</f>
        <v>388.82174422493131</v>
      </c>
      <c r="G59" s="16">
        <f t="shared" ref="G59:K59" si="51">+F62</f>
        <v>483.35515140828988</v>
      </c>
      <c r="H59" s="16">
        <f t="shared" si="51"/>
        <v>258.43045140828985</v>
      </c>
      <c r="I59" s="16">
        <f t="shared" si="51"/>
        <v>33.505751408289825</v>
      </c>
      <c r="J59" s="16">
        <f t="shared" si="51"/>
        <v>-191.4189485917102</v>
      </c>
      <c r="K59" s="16">
        <f t="shared" si="51"/>
        <v>-416.34364859171023</v>
      </c>
    </row>
    <row r="60" spans="2:11" x14ac:dyDescent="0.25">
      <c r="B60" s="1" t="s">
        <v>7</v>
      </c>
      <c r="C60" s="16"/>
      <c r="D60" s="16"/>
      <c r="E60" s="16">
        <f t="shared" ref="E60:K60" si="52">+E26</f>
        <v>194.50036056232838</v>
      </c>
      <c r="F60" s="16">
        <f t="shared" si="52"/>
        <v>236.3335179583965</v>
      </c>
      <c r="G60" s="16">
        <f t="shared" si="52"/>
        <v>-224.92470000000003</v>
      </c>
      <c r="H60" s="16">
        <f t="shared" si="52"/>
        <v>-224.92470000000003</v>
      </c>
      <c r="I60" s="16">
        <f t="shared" si="52"/>
        <v>-224.92470000000003</v>
      </c>
      <c r="J60" s="16">
        <f t="shared" si="52"/>
        <v>-224.92470000000003</v>
      </c>
      <c r="K60" s="16">
        <f t="shared" si="52"/>
        <v>-224.92470000000003</v>
      </c>
    </row>
    <row r="61" spans="2:11" x14ac:dyDescent="0.25">
      <c r="B61" s="1" t="s">
        <v>66</v>
      </c>
      <c r="C61" s="16"/>
      <c r="D61" s="16"/>
      <c r="E61" s="16">
        <f>-E56</f>
        <v>-116.70021633739702</v>
      </c>
      <c r="F61" s="16">
        <f>-F56</f>
        <v>-141.80011077503789</v>
      </c>
      <c r="G61" s="16">
        <f t="shared" ref="G61:K61" si="53">-G56</f>
        <v>0</v>
      </c>
      <c r="H61" s="16">
        <f t="shared" si="53"/>
        <v>0</v>
      </c>
      <c r="I61" s="16">
        <f t="shared" si="53"/>
        <v>0</v>
      </c>
      <c r="J61" s="16">
        <f t="shared" si="53"/>
        <v>0</v>
      </c>
      <c r="K61" s="16">
        <f t="shared" si="53"/>
        <v>0</v>
      </c>
    </row>
    <row r="62" spans="2:11" x14ac:dyDescent="0.25">
      <c r="B62" s="12" t="s">
        <v>82</v>
      </c>
      <c r="C62" s="18"/>
      <c r="D62" s="70">
        <f>+FS!D47</f>
        <v>311.02159999999998</v>
      </c>
      <c r="E62" s="18">
        <f>+E59+E60+E61</f>
        <v>388.82174422493131</v>
      </c>
      <c r="F62" s="18">
        <f>+F59+F60+F61</f>
        <v>483.35515140828988</v>
      </c>
      <c r="G62" s="18">
        <f t="shared" ref="G62:K62" si="54">+G59+G60+G61</f>
        <v>258.43045140828985</v>
      </c>
      <c r="H62" s="18">
        <f t="shared" si="54"/>
        <v>33.505751408289825</v>
      </c>
      <c r="I62" s="18">
        <f t="shared" si="54"/>
        <v>-191.4189485917102</v>
      </c>
      <c r="J62" s="18">
        <f t="shared" si="54"/>
        <v>-416.34364859171023</v>
      </c>
      <c r="K62" s="18">
        <f t="shared" si="54"/>
        <v>-641.26834859171026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DFEFF-9EAD-4E42-A55D-34C90D463495}">
  <dimension ref="A2:L78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56" sqref="G56"/>
    </sheetView>
  </sheetViews>
  <sheetFormatPr defaultRowHeight="15" x14ac:dyDescent="0.25"/>
  <cols>
    <col min="1" max="1" width="5.28515625" style="1" customWidth="1"/>
    <col min="2" max="2" width="41" style="1" bestFit="1" customWidth="1"/>
    <col min="3" max="3" width="3.5703125" style="1" customWidth="1"/>
    <col min="4" max="16384" width="9.140625" style="1"/>
  </cols>
  <sheetData>
    <row r="2" spans="1:11" x14ac:dyDescent="0.25">
      <c r="C2" s="3"/>
      <c r="D2" s="3">
        <v>2017</v>
      </c>
      <c r="E2" s="3">
        <f t="shared" ref="E2:K2" si="0">+D2+1</f>
        <v>2018</v>
      </c>
      <c r="F2" s="3">
        <f t="shared" si="0"/>
        <v>2019</v>
      </c>
      <c r="G2" s="4">
        <f t="shared" si="0"/>
        <v>2020</v>
      </c>
      <c r="H2" s="4">
        <f t="shared" si="0"/>
        <v>2021</v>
      </c>
      <c r="I2" s="4">
        <f t="shared" si="0"/>
        <v>2022</v>
      </c>
      <c r="J2" s="4">
        <f t="shared" si="0"/>
        <v>2023</v>
      </c>
      <c r="K2" s="4">
        <f t="shared" si="0"/>
        <v>2024</v>
      </c>
    </row>
    <row r="3" spans="1:11" x14ac:dyDescent="0.25">
      <c r="A3" s="74">
        <v>1</v>
      </c>
      <c r="B3" s="74" t="s">
        <v>0</v>
      </c>
      <c r="C3" s="75"/>
      <c r="D3" s="75"/>
      <c r="E3" s="75"/>
      <c r="F3" s="75"/>
      <c r="G3" s="76"/>
      <c r="H3" s="76"/>
      <c r="I3" s="76"/>
      <c r="J3" s="76"/>
      <c r="K3" s="76"/>
    </row>
    <row r="4" spans="1:11" x14ac:dyDescent="0.25">
      <c r="B4" s="1" t="s">
        <v>90</v>
      </c>
      <c r="C4" s="19"/>
      <c r="D4" s="19">
        <v>1200</v>
      </c>
      <c r="E4" s="19">
        <v>1416</v>
      </c>
      <c r="F4" s="19">
        <v>1628.3999999999999</v>
      </c>
      <c r="G4" s="32">
        <f>+Assumptions!G3</f>
        <v>0</v>
      </c>
      <c r="H4" s="32">
        <f>+Assumptions!H3</f>
        <v>0</v>
      </c>
      <c r="I4" s="32">
        <f>+Assumptions!I3</f>
        <v>0</v>
      </c>
      <c r="J4" s="32">
        <f>+Assumptions!J3</f>
        <v>0</v>
      </c>
      <c r="K4" s="32">
        <f>+Assumptions!K3</f>
        <v>0</v>
      </c>
    </row>
    <row r="5" spans="1:11" x14ac:dyDescent="0.25">
      <c r="B5" s="1" t="s">
        <v>1</v>
      </c>
      <c r="C5" s="19"/>
      <c r="D5" s="19">
        <v>-702</v>
      </c>
      <c r="E5" s="19">
        <v>-828.36</v>
      </c>
      <c r="F5" s="19">
        <v>-952.61399999999992</v>
      </c>
      <c r="G5" s="32">
        <f>+Assumptions!G12</f>
        <v>0</v>
      </c>
      <c r="H5" s="32">
        <f>+Assumptions!H12</f>
        <v>0</v>
      </c>
      <c r="I5" s="32">
        <f>+Assumptions!I12</f>
        <v>0</v>
      </c>
      <c r="J5" s="32">
        <f>+Assumptions!J12</f>
        <v>0</v>
      </c>
      <c r="K5" s="32">
        <f>+Assumptions!K12</f>
        <v>0</v>
      </c>
    </row>
    <row r="6" spans="1:11" x14ac:dyDescent="0.25">
      <c r="B6" s="6" t="s">
        <v>2</v>
      </c>
      <c r="C6" s="17"/>
      <c r="D6" s="17">
        <f t="shared" ref="D6:J6" si="1">+D4+D5</f>
        <v>498</v>
      </c>
      <c r="E6" s="17">
        <f t="shared" si="1"/>
        <v>587.64</v>
      </c>
      <c r="F6" s="17">
        <f t="shared" si="1"/>
        <v>675.78599999999994</v>
      </c>
      <c r="G6" s="40">
        <f t="shared" si="1"/>
        <v>0</v>
      </c>
      <c r="H6" s="40">
        <f t="shared" si="1"/>
        <v>0</v>
      </c>
      <c r="I6" s="40">
        <f t="shared" si="1"/>
        <v>0</v>
      </c>
      <c r="J6" s="40">
        <f t="shared" si="1"/>
        <v>0</v>
      </c>
      <c r="K6" s="40">
        <f t="shared" ref="K6" si="2">+K4+K5</f>
        <v>0</v>
      </c>
    </row>
    <row r="7" spans="1:11" x14ac:dyDescent="0.25">
      <c r="B7" s="1" t="s">
        <v>8</v>
      </c>
      <c r="C7" s="19"/>
      <c r="D7" s="19">
        <v>-85.199999999999989</v>
      </c>
      <c r="E7" s="19">
        <v>-99.827999999999989</v>
      </c>
      <c r="F7" s="19">
        <v>-113.988</v>
      </c>
      <c r="G7" s="32">
        <f>+Assumptions!G15</f>
        <v>0</v>
      </c>
      <c r="H7" s="32">
        <f>+Assumptions!H15</f>
        <v>0</v>
      </c>
      <c r="I7" s="32">
        <f>+Assumptions!I15</f>
        <v>0</v>
      </c>
      <c r="J7" s="32">
        <f>+Assumptions!J15</f>
        <v>0</v>
      </c>
      <c r="K7" s="32">
        <f>+Assumptions!K15</f>
        <v>0</v>
      </c>
    </row>
    <row r="8" spans="1:11" x14ac:dyDescent="0.25">
      <c r="B8" s="1" t="s">
        <v>9</v>
      </c>
      <c r="C8" s="19"/>
      <c r="D8" s="19">
        <v>-200.20000000000002</v>
      </c>
      <c r="E8" s="19">
        <v>-214.21400000000003</v>
      </c>
      <c r="F8" s="19">
        <v>-224.92470000000003</v>
      </c>
      <c r="G8" s="32">
        <f>+Assumptions!G17</f>
        <v>-224.92470000000003</v>
      </c>
      <c r="H8" s="32">
        <f>+Assumptions!H17</f>
        <v>-224.92470000000003</v>
      </c>
      <c r="I8" s="32">
        <f>+Assumptions!I17</f>
        <v>-224.92470000000003</v>
      </c>
      <c r="J8" s="32">
        <f>+Assumptions!J17</f>
        <v>-224.92470000000003</v>
      </c>
      <c r="K8" s="32">
        <f>+Assumptions!K17</f>
        <v>-224.92470000000003</v>
      </c>
    </row>
    <row r="9" spans="1:11" x14ac:dyDescent="0.25">
      <c r="B9" s="1" t="s">
        <v>84</v>
      </c>
      <c r="C9" s="19"/>
      <c r="D9" s="19">
        <f>+PPE!D6</f>
        <v>-10</v>
      </c>
      <c r="E9" s="19">
        <f>+PPE!E6</f>
        <v>-17.2</v>
      </c>
      <c r="F9" s="19">
        <f>+PPE!F6</f>
        <v>-25.695999999999998</v>
      </c>
      <c r="G9" s="32">
        <f>+Assumptions!G19</f>
        <v>0</v>
      </c>
      <c r="H9" s="32">
        <f>+Assumptions!H19</f>
        <v>0</v>
      </c>
      <c r="I9" s="32">
        <f>+Assumptions!I19</f>
        <v>0</v>
      </c>
      <c r="J9" s="32">
        <f>+Assumptions!J19</f>
        <v>0</v>
      </c>
      <c r="K9" s="32">
        <f>+Assumptions!K19</f>
        <v>0</v>
      </c>
    </row>
    <row r="10" spans="1:11" x14ac:dyDescent="0.25">
      <c r="B10" s="6" t="s">
        <v>3</v>
      </c>
      <c r="C10" s="17"/>
      <c r="D10" s="17">
        <f t="shared" ref="D10:J10" si="3">+D6+D7+D8+D9</f>
        <v>202.6</v>
      </c>
      <c r="E10" s="17">
        <f t="shared" si="3"/>
        <v>256.39799999999997</v>
      </c>
      <c r="F10" s="17">
        <f t="shared" si="3"/>
        <v>311.17729999999995</v>
      </c>
      <c r="G10" s="40">
        <f t="shared" si="3"/>
        <v>-224.92470000000003</v>
      </c>
      <c r="H10" s="40">
        <f t="shared" si="3"/>
        <v>-224.92470000000003</v>
      </c>
      <c r="I10" s="40">
        <f t="shared" si="3"/>
        <v>-224.92470000000003</v>
      </c>
      <c r="J10" s="40">
        <f t="shared" si="3"/>
        <v>-224.92470000000003</v>
      </c>
      <c r="K10" s="40">
        <f t="shared" ref="K10" si="4">+K6+K7+K8+K9</f>
        <v>-224.92470000000003</v>
      </c>
    </row>
    <row r="11" spans="1:11" x14ac:dyDescent="0.25">
      <c r="B11" s="1" t="s">
        <v>6</v>
      </c>
      <c r="C11" s="19"/>
      <c r="D11" s="19">
        <f>+'Debt Schedule'!D21</f>
        <v>-5.3999999999999995</v>
      </c>
      <c r="E11" s="19">
        <f>+'Debt Schedule'!E21</f>
        <v>-4.4420594376715759</v>
      </c>
      <c r="F11" s="19">
        <f>+'Debt Schedule'!F21</f>
        <v>-3.4266424416034469</v>
      </c>
      <c r="G11" s="32">
        <f>+Assumptions!G22</f>
        <v>0</v>
      </c>
      <c r="H11" s="32">
        <f>+Assumptions!H22</f>
        <v>0</v>
      </c>
      <c r="I11" s="32">
        <f>+Assumptions!I22</f>
        <v>0</v>
      </c>
      <c r="J11" s="32">
        <f>+Assumptions!J22</f>
        <v>0</v>
      </c>
      <c r="K11" s="32">
        <f>+Assumptions!K22</f>
        <v>0</v>
      </c>
    </row>
    <row r="12" spans="1:11" x14ac:dyDescent="0.25">
      <c r="B12" s="6" t="s">
        <v>5</v>
      </c>
      <c r="C12" s="17"/>
      <c r="D12" s="17">
        <f t="shared" ref="D12:J12" si="5">+D10+D11</f>
        <v>197.2</v>
      </c>
      <c r="E12" s="17">
        <f t="shared" si="5"/>
        <v>251.95594056232838</v>
      </c>
      <c r="F12" s="17">
        <f t="shared" si="5"/>
        <v>307.75065755839648</v>
      </c>
      <c r="G12" s="17">
        <f t="shared" si="5"/>
        <v>-224.92470000000003</v>
      </c>
      <c r="H12" s="17">
        <f t="shared" si="5"/>
        <v>-224.92470000000003</v>
      </c>
      <c r="I12" s="17">
        <f t="shared" si="5"/>
        <v>-224.92470000000003</v>
      </c>
      <c r="J12" s="17">
        <f t="shared" si="5"/>
        <v>-224.92470000000003</v>
      </c>
      <c r="K12" s="17">
        <f t="shared" ref="K12" si="6">+K10+K11</f>
        <v>-224.92470000000003</v>
      </c>
    </row>
    <row r="13" spans="1:11" x14ac:dyDescent="0.25">
      <c r="B13" s="1" t="s">
        <v>4</v>
      </c>
      <c r="C13" s="19"/>
      <c r="D13" s="19">
        <v>-44.645999999999994</v>
      </c>
      <c r="E13" s="19">
        <v>-57.455579999999991</v>
      </c>
      <c r="F13" s="19">
        <v>-71.417139599999999</v>
      </c>
      <c r="G13" s="32">
        <f>+Assumptions!G24</f>
        <v>0</v>
      </c>
      <c r="H13" s="32">
        <f>+Assumptions!H24</f>
        <v>0</v>
      </c>
      <c r="I13" s="32">
        <f>+Assumptions!I24</f>
        <v>0</v>
      </c>
      <c r="J13" s="32">
        <f>+Assumptions!J24</f>
        <v>0</v>
      </c>
      <c r="K13" s="32">
        <f>+Assumptions!K24</f>
        <v>0</v>
      </c>
    </row>
    <row r="14" spans="1:11" x14ac:dyDescent="0.25">
      <c r="B14" s="12" t="s">
        <v>7</v>
      </c>
      <c r="C14" s="18"/>
      <c r="D14" s="18">
        <f t="shared" ref="D14:J14" si="7">+D12+D13</f>
        <v>152.554</v>
      </c>
      <c r="E14" s="18">
        <f t="shared" si="7"/>
        <v>194.50036056232838</v>
      </c>
      <c r="F14" s="18">
        <f t="shared" si="7"/>
        <v>236.3335179583965</v>
      </c>
      <c r="G14" s="18">
        <f t="shared" si="7"/>
        <v>-224.92470000000003</v>
      </c>
      <c r="H14" s="18">
        <f t="shared" si="7"/>
        <v>-224.92470000000003</v>
      </c>
      <c r="I14" s="18">
        <f t="shared" si="7"/>
        <v>-224.92470000000003</v>
      </c>
      <c r="J14" s="18">
        <f t="shared" si="7"/>
        <v>-224.92470000000003</v>
      </c>
      <c r="K14" s="18">
        <f t="shared" ref="K14" si="8">+K12+K13</f>
        <v>-224.92470000000003</v>
      </c>
    </row>
    <row r="15" spans="1:11" x14ac:dyDescent="0.25">
      <c r="C15" s="16"/>
      <c r="D15" s="16"/>
      <c r="E15" s="16"/>
      <c r="F15" s="16"/>
      <c r="G15" s="16"/>
      <c r="H15" s="16"/>
      <c r="I15" s="16"/>
      <c r="J15" s="16"/>
      <c r="K15" s="16"/>
    </row>
    <row r="16" spans="1:11" x14ac:dyDescent="0.25">
      <c r="B16" s="1" t="s">
        <v>3</v>
      </c>
      <c r="C16" s="16"/>
      <c r="D16" s="16">
        <f t="shared" ref="D16:J16" si="9">+D10</f>
        <v>202.6</v>
      </c>
      <c r="E16" s="16">
        <f t="shared" si="9"/>
        <v>256.39799999999997</v>
      </c>
      <c r="F16" s="16">
        <f t="shared" si="9"/>
        <v>311.17729999999995</v>
      </c>
      <c r="G16" s="16">
        <f t="shared" si="9"/>
        <v>-224.92470000000003</v>
      </c>
      <c r="H16" s="16">
        <f t="shared" si="9"/>
        <v>-224.92470000000003</v>
      </c>
      <c r="I16" s="16">
        <f t="shared" si="9"/>
        <v>-224.92470000000003</v>
      </c>
      <c r="J16" s="16">
        <f t="shared" si="9"/>
        <v>-224.92470000000003</v>
      </c>
      <c r="K16" s="16">
        <f t="shared" ref="K16" si="10">+K10</f>
        <v>-224.92470000000003</v>
      </c>
    </row>
    <row r="17" spans="1:12" x14ac:dyDescent="0.25">
      <c r="B17" s="1" t="s">
        <v>84</v>
      </c>
      <c r="C17" s="16"/>
      <c r="D17" s="16">
        <f t="shared" ref="D17:J17" si="11">-D9</f>
        <v>10</v>
      </c>
      <c r="E17" s="16">
        <f t="shared" si="11"/>
        <v>17.2</v>
      </c>
      <c r="F17" s="16">
        <f t="shared" si="11"/>
        <v>25.695999999999998</v>
      </c>
      <c r="G17" s="16">
        <f t="shared" si="11"/>
        <v>0</v>
      </c>
      <c r="H17" s="16">
        <f t="shared" si="11"/>
        <v>0</v>
      </c>
      <c r="I17" s="16">
        <f t="shared" si="11"/>
        <v>0</v>
      </c>
      <c r="J17" s="16">
        <f t="shared" si="11"/>
        <v>0</v>
      </c>
      <c r="K17" s="16">
        <f t="shared" ref="K17" si="12">-K9</f>
        <v>0</v>
      </c>
    </row>
    <row r="18" spans="1:12" x14ac:dyDescent="0.25">
      <c r="B18" s="12" t="s">
        <v>86</v>
      </c>
      <c r="C18" s="18"/>
      <c r="D18" s="18">
        <f t="shared" ref="D18:J18" si="13">+D16+D17</f>
        <v>212.6</v>
      </c>
      <c r="E18" s="18">
        <f t="shared" si="13"/>
        <v>273.59799999999996</v>
      </c>
      <c r="F18" s="18">
        <f t="shared" si="13"/>
        <v>336.87329999999997</v>
      </c>
      <c r="G18" s="18">
        <f t="shared" si="13"/>
        <v>-224.92470000000003</v>
      </c>
      <c r="H18" s="18">
        <f t="shared" si="13"/>
        <v>-224.92470000000003</v>
      </c>
      <c r="I18" s="18">
        <f t="shared" si="13"/>
        <v>-224.92470000000003</v>
      </c>
      <c r="J18" s="18">
        <f t="shared" si="13"/>
        <v>-224.92470000000003</v>
      </c>
      <c r="K18" s="18">
        <f t="shared" ref="K18" si="14">+K16+K17</f>
        <v>-224.92470000000003</v>
      </c>
    </row>
    <row r="20" spans="1:12" x14ac:dyDescent="0.25">
      <c r="B20" s="2" t="s">
        <v>94</v>
      </c>
    </row>
    <row r="21" spans="1:12" x14ac:dyDescent="0.25">
      <c r="B21" s="1" t="s">
        <v>95</v>
      </c>
      <c r="C21" s="8"/>
      <c r="D21" s="8" t="str">
        <f t="shared" ref="D21:K21" si="15">IFERROR(D4/C4-1,"N/A")</f>
        <v>N/A</v>
      </c>
      <c r="E21" s="8">
        <f t="shared" si="15"/>
        <v>0.17999999999999994</v>
      </c>
      <c r="F21" s="8">
        <f t="shared" si="15"/>
        <v>0.14999999999999991</v>
      </c>
      <c r="G21" s="8">
        <f t="shared" si="15"/>
        <v>-1</v>
      </c>
      <c r="H21" s="8" t="str">
        <f t="shared" si="15"/>
        <v>N/A</v>
      </c>
      <c r="I21" s="8" t="str">
        <f t="shared" si="15"/>
        <v>N/A</v>
      </c>
      <c r="J21" s="8" t="str">
        <f t="shared" si="15"/>
        <v>N/A</v>
      </c>
      <c r="K21" s="8" t="str">
        <f t="shared" si="15"/>
        <v>N/A</v>
      </c>
    </row>
    <row r="22" spans="1:12" x14ac:dyDescent="0.25">
      <c r="B22" s="1" t="s">
        <v>96</v>
      </c>
      <c r="C22" s="7"/>
      <c r="D22" s="7">
        <f t="shared" ref="D22:K22" si="16">+D6/D4</f>
        <v>0.41499999999999998</v>
      </c>
      <c r="E22" s="7">
        <f t="shared" si="16"/>
        <v>0.41499999999999998</v>
      </c>
      <c r="F22" s="7">
        <f t="shared" si="16"/>
        <v>0.41499999999999998</v>
      </c>
      <c r="G22" s="7" t="e">
        <f t="shared" si="16"/>
        <v>#DIV/0!</v>
      </c>
      <c r="H22" s="7" t="e">
        <f t="shared" si="16"/>
        <v>#DIV/0!</v>
      </c>
      <c r="I22" s="7" t="e">
        <f t="shared" si="16"/>
        <v>#DIV/0!</v>
      </c>
      <c r="J22" s="7" t="e">
        <f t="shared" si="16"/>
        <v>#DIV/0!</v>
      </c>
      <c r="K22" s="7" t="e">
        <f t="shared" si="16"/>
        <v>#DIV/0!</v>
      </c>
    </row>
    <row r="23" spans="1:12" x14ac:dyDescent="0.25">
      <c r="B23" s="1" t="s">
        <v>11</v>
      </c>
      <c r="C23" s="7"/>
      <c r="D23" s="7">
        <f t="shared" ref="D23:K23" si="17">+D10/D4</f>
        <v>0.16883333333333334</v>
      </c>
      <c r="E23" s="7">
        <f t="shared" si="17"/>
        <v>0.18107203389830506</v>
      </c>
      <c r="F23" s="7">
        <f t="shared" si="17"/>
        <v>0.1910938958486858</v>
      </c>
      <c r="G23" s="7" t="e">
        <f t="shared" si="17"/>
        <v>#DIV/0!</v>
      </c>
      <c r="H23" s="7" t="e">
        <f t="shared" si="17"/>
        <v>#DIV/0!</v>
      </c>
      <c r="I23" s="7" t="e">
        <f t="shared" si="17"/>
        <v>#DIV/0!</v>
      </c>
      <c r="J23" s="7" t="e">
        <f t="shared" si="17"/>
        <v>#DIV/0!</v>
      </c>
      <c r="K23" s="7" t="e">
        <f t="shared" si="17"/>
        <v>#DIV/0!</v>
      </c>
    </row>
    <row r="24" spans="1:12" x14ac:dyDescent="0.25">
      <c r="B24" s="1" t="s">
        <v>85</v>
      </c>
      <c r="C24" s="7"/>
      <c r="D24" s="7">
        <f t="shared" ref="D24:K24" si="18">+D18/D4</f>
        <v>0.17716666666666667</v>
      </c>
      <c r="E24" s="7">
        <f t="shared" si="18"/>
        <v>0.19321892655367229</v>
      </c>
      <c r="F24" s="7">
        <f t="shared" si="18"/>
        <v>0.20687380250552689</v>
      </c>
      <c r="G24" s="7" t="e">
        <f t="shared" si="18"/>
        <v>#DIV/0!</v>
      </c>
      <c r="H24" s="7" t="e">
        <f t="shared" si="18"/>
        <v>#DIV/0!</v>
      </c>
      <c r="I24" s="7" t="e">
        <f t="shared" si="18"/>
        <v>#DIV/0!</v>
      </c>
      <c r="J24" s="7" t="e">
        <f t="shared" si="18"/>
        <v>#DIV/0!</v>
      </c>
      <c r="K24" s="7" t="e">
        <f t="shared" si="18"/>
        <v>#DIV/0!</v>
      </c>
    </row>
    <row r="25" spans="1:12" x14ac:dyDescent="0.25">
      <c r="B25" s="1" t="s">
        <v>97</v>
      </c>
      <c r="C25" s="8"/>
      <c r="D25" s="8" t="str">
        <f t="shared" ref="D25:K25" si="19">IFERROR(D8/C8-1,"N/A")</f>
        <v>N/A</v>
      </c>
      <c r="E25" s="8">
        <f t="shared" si="19"/>
        <v>7.0000000000000062E-2</v>
      </c>
      <c r="F25" s="8">
        <f t="shared" si="19"/>
        <v>5.0000000000000044E-2</v>
      </c>
      <c r="G25" s="8">
        <f t="shared" si="19"/>
        <v>0</v>
      </c>
      <c r="H25" s="8">
        <f t="shared" si="19"/>
        <v>0</v>
      </c>
      <c r="I25" s="8">
        <f t="shared" si="19"/>
        <v>0</v>
      </c>
      <c r="J25" s="8">
        <f t="shared" si="19"/>
        <v>0</v>
      </c>
      <c r="K25" s="8">
        <f t="shared" si="19"/>
        <v>0</v>
      </c>
    </row>
    <row r="26" spans="1:12" x14ac:dyDescent="0.25">
      <c r="B26" s="1" t="s">
        <v>98</v>
      </c>
      <c r="C26" s="7"/>
      <c r="D26" s="7">
        <f t="shared" ref="D26:K26" si="20">+D14/D4</f>
        <v>0.12712833333333334</v>
      </c>
      <c r="E26" s="7">
        <f t="shared" si="20"/>
        <v>0.13735901169655959</v>
      </c>
      <c r="F26" s="7">
        <f t="shared" si="20"/>
        <v>0.14513234952001752</v>
      </c>
      <c r="G26" s="7" t="e">
        <f t="shared" si="20"/>
        <v>#DIV/0!</v>
      </c>
      <c r="H26" s="7" t="e">
        <f t="shared" si="20"/>
        <v>#DIV/0!</v>
      </c>
      <c r="I26" s="7" t="e">
        <f t="shared" si="20"/>
        <v>#DIV/0!</v>
      </c>
      <c r="J26" s="7" t="e">
        <f t="shared" si="20"/>
        <v>#DIV/0!</v>
      </c>
      <c r="K26" s="7" t="e">
        <f t="shared" si="20"/>
        <v>#DIV/0!</v>
      </c>
    </row>
    <row r="28" spans="1:12" x14ac:dyDescent="0.25">
      <c r="A28" s="74">
        <v>2</v>
      </c>
      <c r="B28" s="74" t="s">
        <v>14</v>
      </c>
      <c r="C28" s="75"/>
      <c r="D28" s="75">
        <v>2017</v>
      </c>
      <c r="E28" s="75">
        <f t="shared" ref="E28:K28" si="21">+D28+1</f>
        <v>2018</v>
      </c>
      <c r="F28" s="75">
        <f t="shared" si="21"/>
        <v>2019</v>
      </c>
      <c r="G28" s="76">
        <f t="shared" si="21"/>
        <v>2020</v>
      </c>
      <c r="H28" s="76">
        <f t="shared" si="21"/>
        <v>2021</v>
      </c>
      <c r="I28" s="76">
        <f t="shared" si="21"/>
        <v>2022</v>
      </c>
      <c r="J28" s="76">
        <f t="shared" si="21"/>
        <v>2023</v>
      </c>
      <c r="K28" s="76">
        <f t="shared" si="21"/>
        <v>2024</v>
      </c>
    </row>
    <row r="29" spans="1:12" x14ac:dyDescent="0.25">
      <c r="B29" s="1" t="s">
        <v>15</v>
      </c>
      <c r="C29" s="19"/>
      <c r="D29" s="19">
        <v>238.11263628995982</v>
      </c>
      <c r="E29" s="19">
        <v>263.83166254389266</v>
      </c>
      <c r="F29" s="19">
        <v>301.70615941771882</v>
      </c>
      <c r="G29" s="16">
        <f>+G77</f>
        <v>0</v>
      </c>
      <c r="H29" s="16">
        <f t="shared" ref="H29:K29" si="22">+H77</f>
        <v>0</v>
      </c>
      <c r="I29" s="16">
        <f t="shared" si="22"/>
        <v>0</v>
      </c>
      <c r="J29" s="16">
        <f t="shared" si="22"/>
        <v>0</v>
      </c>
      <c r="K29" s="16">
        <f t="shared" si="22"/>
        <v>0</v>
      </c>
      <c r="L29" s="16"/>
    </row>
    <row r="30" spans="1:12" x14ac:dyDescent="0.25">
      <c r="B30" s="1" t="s">
        <v>16</v>
      </c>
      <c r="C30" s="19"/>
      <c r="D30" s="19">
        <v>108.49315068493151</v>
      </c>
      <c r="E30" s="19">
        <v>120.26301369863013</v>
      </c>
      <c r="F30" s="19">
        <v>133.84109589041094</v>
      </c>
      <c r="G30" s="32" t="e">
        <f>+Assumptions!G35</f>
        <v>#DIV/0!</v>
      </c>
      <c r="H30" s="32" t="e">
        <f>+Assumptions!H35</f>
        <v>#DIV/0!</v>
      </c>
      <c r="I30" s="32" t="e">
        <f>+Assumptions!I35</f>
        <v>#DIV/0!</v>
      </c>
      <c r="J30" s="32" t="e">
        <f>+Assumptions!J35</f>
        <v>#DIV/0!</v>
      </c>
      <c r="K30" s="32" t="e">
        <f>+Assumptions!K35</f>
        <v>#DIV/0!</v>
      </c>
      <c r="L30" s="16"/>
    </row>
    <row r="31" spans="1:12" x14ac:dyDescent="0.25">
      <c r="B31" s="1" t="s">
        <v>17</v>
      </c>
      <c r="C31" s="19"/>
      <c r="D31" s="19">
        <v>85.009315068493152</v>
      </c>
      <c r="E31" s="19">
        <v>94.183397260273978</v>
      </c>
      <c r="F31" s="19">
        <v>104.39605479452054</v>
      </c>
      <c r="G31" s="32" t="e">
        <f>+Assumptions!G38</f>
        <v>#DIV/0!</v>
      </c>
      <c r="H31" s="32" t="e">
        <f>+Assumptions!H38</f>
        <v>#DIV/0!</v>
      </c>
      <c r="I31" s="32" t="e">
        <f>+Assumptions!I38</f>
        <v>#DIV/0!</v>
      </c>
      <c r="J31" s="32" t="e">
        <f>+Assumptions!J38</f>
        <v>#DIV/0!</v>
      </c>
      <c r="K31" s="32" t="e">
        <f>+Assumptions!K38</f>
        <v>#DIV/0!</v>
      </c>
      <c r="L31" s="16"/>
    </row>
    <row r="32" spans="1:12" x14ac:dyDescent="0.25">
      <c r="B32" s="1" t="s">
        <v>18</v>
      </c>
      <c r="C32" s="19"/>
      <c r="D32" s="19">
        <v>12</v>
      </c>
      <c r="E32" s="19">
        <v>11</v>
      </c>
      <c r="F32" s="19">
        <v>11</v>
      </c>
      <c r="G32" s="32">
        <f>+Assumptions!G41</f>
        <v>0</v>
      </c>
      <c r="H32" s="32">
        <f>+Assumptions!H41</f>
        <v>0</v>
      </c>
      <c r="I32" s="32">
        <f>+Assumptions!I41</f>
        <v>0</v>
      </c>
      <c r="J32" s="32">
        <f>+Assumptions!J41</f>
        <v>0</v>
      </c>
      <c r="K32" s="32">
        <f>+Assumptions!K41</f>
        <v>0</v>
      </c>
      <c r="L32" s="16"/>
    </row>
    <row r="33" spans="2:12" x14ac:dyDescent="0.25">
      <c r="B33" s="6" t="s">
        <v>19</v>
      </c>
      <c r="C33" s="17"/>
      <c r="D33" s="17">
        <f t="shared" ref="D33:G33" si="23">+D29+D30+D31+D32</f>
        <v>443.61510204338447</v>
      </c>
      <c r="E33" s="17">
        <f t="shared" si="23"/>
        <v>489.27807350279676</v>
      </c>
      <c r="F33" s="17">
        <f t="shared" si="23"/>
        <v>550.94331010265034</v>
      </c>
      <c r="G33" s="17" t="e">
        <f t="shared" si="23"/>
        <v>#DIV/0!</v>
      </c>
      <c r="H33" s="17" t="e">
        <f t="shared" ref="H33:K33" si="24">+H29+H30+H31+H32</f>
        <v>#DIV/0!</v>
      </c>
      <c r="I33" s="17" t="e">
        <f t="shared" si="24"/>
        <v>#DIV/0!</v>
      </c>
      <c r="J33" s="17" t="e">
        <f t="shared" si="24"/>
        <v>#DIV/0!</v>
      </c>
      <c r="K33" s="17" t="e">
        <f t="shared" si="24"/>
        <v>#DIV/0!</v>
      </c>
      <c r="L33" s="16"/>
    </row>
    <row r="34" spans="2:12" x14ac:dyDescent="0.25">
      <c r="B34" s="1" t="s">
        <v>20</v>
      </c>
      <c r="C34" s="19"/>
      <c r="D34" s="19">
        <v>76</v>
      </c>
      <c r="E34" s="19">
        <v>101.27999999999999</v>
      </c>
      <c r="F34" s="19">
        <v>124.43599999999998</v>
      </c>
      <c r="G34" s="96"/>
      <c r="H34" s="96"/>
      <c r="I34" s="96"/>
      <c r="J34" s="96"/>
      <c r="K34" s="96"/>
      <c r="L34" s="16"/>
    </row>
    <row r="35" spans="2:12" x14ac:dyDescent="0.25">
      <c r="B35" s="1" t="s">
        <v>21</v>
      </c>
      <c r="C35" s="19"/>
      <c r="D35" s="19">
        <v>15</v>
      </c>
      <c r="E35" s="19">
        <v>15</v>
      </c>
      <c r="F35" s="19">
        <v>15</v>
      </c>
      <c r="G35" s="32">
        <f>+Assumptions!G42</f>
        <v>0</v>
      </c>
      <c r="H35" s="32">
        <f>+Assumptions!H42</f>
        <v>0</v>
      </c>
      <c r="I35" s="32">
        <f>+Assumptions!I42</f>
        <v>0</v>
      </c>
      <c r="J35" s="32">
        <f>+Assumptions!J42</f>
        <v>0</v>
      </c>
      <c r="K35" s="32">
        <f>+Assumptions!K42</f>
        <v>0</v>
      </c>
      <c r="L35" s="16"/>
    </row>
    <row r="36" spans="2:12" x14ac:dyDescent="0.25">
      <c r="B36" s="1" t="s">
        <v>22</v>
      </c>
      <c r="C36" s="19"/>
      <c r="D36" s="19">
        <v>7.6</v>
      </c>
      <c r="E36" s="19">
        <v>8</v>
      </c>
      <c r="F36" s="19">
        <v>8.5</v>
      </c>
      <c r="G36" s="32">
        <f>+Assumptions!G43</f>
        <v>0</v>
      </c>
      <c r="H36" s="32">
        <f>+Assumptions!H43</f>
        <v>0</v>
      </c>
      <c r="I36" s="32">
        <f>+Assumptions!I43</f>
        <v>0</v>
      </c>
      <c r="J36" s="32">
        <f>+Assumptions!J43</f>
        <v>0</v>
      </c>
      <c r="K36" s="32">
        <f>+Assumptions!K43</f>
        <v>0</v>
      </c>
      <c r="L36" s="16"/>
    </row>
    <row r="37" spans="2:12" x14ac:dyDescent="0.25">
      <c r="B37" s="6" t="s">
        <v>24</v>
      </c>
      <c r="C37" s="17"/>
      <c r="D37" s="17">
        <f t="shared" ref="D37:G37" si="25">+D34+D35+D36</f>
        <v>98.6</v>
      </c>
      <c r="E37" s="17">
        <f t="shared" si="25"/>
        <v>124.27999999999999</v>
      </c>
      <c r="F37" s="17">
        <f t="shared" si="25"/>
        <v>147.93599999999998</v>
      </c>
      <c r="G37" s="17">
        <f t="shared" si="25"/>
        <v>0</v>
      </c>
      <c r="H37" s="17">
        <f t="shared" ref="H37:K37" si="26">+H34+H35+H36</f>
        <v>0</v>
      </c>
      <c r="I37" s="17">
        <f t="shared" si="26"/>
        <v>0</v>
      </c>
      <c r="J37" s="17">
        <f t="shared" si="26"/>
        <v>0</v>
      </c>
      <c r="K37" s="17">
        <f t="shared" si="26"/>
        <v>0</v>
      </c>
      <c r="L37" s="16"/>
    </row>
    <row r="38" spans="2:12" x14ac:dyDescent="0.25">
      <c r="B38" s="12" t="s">
        <v>23</v>
      </c>
      <c r="C38" s="18"/>
      <c r="D38" s="18">
        <f t="shared" ref="D38:G38" si="27">+D33+D37</f>
        <v>542.21510204338449</v>
      </c>
      <c r="E38" s="18">
        <f t="shared" si="27"/>
        <v>613.55807350279679</v>
      </c>
      <c r="F38" s="18">
        <f t="shared" si="27"/>
        <v>698.87931010265038</v>
      </c>
      <c r="G38" s="18" t="e">
        <f t="shared" si="27"/>
        <v>#DIV/0!</v>
      </c>
      <c r="H38" s="18" t="e">
        <f t="shared" ref="H38:K38" si="28">+H33+H37</f>
        <v>#DIV/0!</v>
      </c>
      <c r="I38" s="18" t="e">
        <f t="shared" si="28"/>
        <v>#DIV/0!</v>
      </c>
      <c r="J38" s="18" t="e">
        <f t="shared" si="28"/>
        <v>#DIV/0!</v>
      </c>
      <c r="K38" s="18" t="e">
        <f t="shared" si="28"/>
        <v>#DIV/0!</v>
      </c>
      <c r="L38" s="16"/>
    </row>
    <row r="39" spans="2:12" x14ac:dyDescent="0.25">
      <c r="B39" s="1" t="s">
        <v>25</v>
      </c>
      <c r="C39" s="19"/>
      <c r="D39" s="19">
        <v>48.659178082191787</v>
      </c>
      <c r="E39" s="19">
        <v>58.325621917808213</v>
      </c>
      <c r="F39" s="19">
        <v>66.552484931506854</v>
      </c>
      <c r="G39" s="32" t="e">
        <f>+Assumptions!G44</f>
        <v>#DIV/0!</v>
      </c>
      <c r="H39" s="32" t="e">
        <f>+Assumptions!H44</f>
        <v>#DIV/0!</v>
      </c>
      <c r="I39" s="32" t="e">
        <f>+Assumptions!I44</f>
        <v>#DIV/0!</v>
      </c>
      <c r="J39" s="32" t="e">
        <f>+Assumptions!J44</f>
        <v>#DIV/0!</v>
      </c>
      <c r="K39" s="32" t="e">
        <f>+Assumptions!K44</f>
        <v>#DIV/0!</v>
      </c>
      <c r="L39" s="16"/>
    </row>
    <row r="40" spans="2:12" x14ac:dyDescent="0.25">
      <c r="B40" s="1" t="s">
        <v>26</v>
      </c>
      <c r="C40" s="19"/>
      <c r="D40" s="19">
        <v>3.1</v>
      </c>
      <c r="E40" s="19">
        <v>3.5</v>
      </c>
      <c r="F40" s="19">
        <v>3.6</v>
      </c>
      <c r="G40" s="32">
        <f>+Assumptions!G47</f>
        <v>0</v>
      </c>
      <c r="H40" s="32">
        <f>+Assumptions!H47</f>
        <v>0</v>
      </c>
      <c r="I40" s="32">
        <f>+Assumptions!I47</f>
        <v>0</v>
      </c>
      <c r="J40" s="32">
        <f>+Assumptions!J47</f>
        <v>0</v>
      </c>
      <c r="K40" s="32">
        <f>+Assumptions!K47</f>
        <v>0</v>
      </c>
      <c r="L40" s="16"/>
    </row>
    <row r="41" spans="2:12" x14ac:dyDescent="0.25">
      <c r="B41" s="6" t="s">
        <v>30</v>
      </c>
      <c r="C41" s="17"/>
      <c r="D41" s="17">
        <f t="shared" ref="D41:G41" si="29">+D39+D40</f>
        <v>51.759178082191788</v>
      </c>
      <c r="E41" s="17">
        <f t="shared" si="29"/>
        <v>61.825621917808213</v>
      </c>
      <c r="F41" s="17">
        <f t="shared" si="29"/>
        <v>70.152484931506848</v>
      </c>
      <c r="G41" s="17" t="e">
        <f t="shared" si="29"/>
        <v>#DIV/0!</v>
      </c>
      <c r="H41" s="17" t="e">
        <f t="shared" ref="H41:K41" si="30">+H39+H40</f>
        <v>#DIV/0!</v>
      </c>
      <c r="I41" s="17" t="e">
        <f t="shared" si="30"/>
        <v>#DIV/0!</v>
      </c>
      <c r="J41" s="17" t="e">
        <f t="shared" si="30"/>
        <v>#DIV/0!</v>
      </c>
      <c r="K41" s="17" t="e">
        <f t="shared" si="30"/>
        <v>#DIV/0!</v>
      </c>
      <c r="L41" s="16"/>
    </row>
    <row r="42" spans="2:12" x14ac:dyDescent="0.25">
      <c r="B42" s="1" t="s">
        <v>27</v>
      </c>
      <c r="C42" s="19"/>
      <c r="D42" s="19">
        <v>74.034323961192939</v>
      </c>
      <c r="E42" s="19">
        <v>57.110707360057447</v>
      </c>
      <c r="F42" s="19">
        <v>39.171673762853828</v>
      </c>
      <c r="G42" s="32">
        <f>+'Debt Schedule'!G10</f>
        <v>20.156298149817992</v>
      </c>
      <c r="H42" s="32">
        <f>+'Debt Schedule'!H10</f>
        <v>0</v>
      </c>
      <c r="I42" s="32">
        <f>+'Debt Schedule'!I10</f>
        <v>0</v>
      </c>
      <c r="J42" s="32">
        <f>+'Debt Schedule'!J10</f>
        <v>0</v>
      </c>
      <c r="K42" s="32">
        <f>+'Debt Schedule'!K10</f>
        <v>0</v>
      </c>
      <c r="L42" s="16"/>
    </row>
    <row r="43" spans="2:12" x14ac:dyDescent="0.25">
      <c r="B43" s="1" t="s">
        <v>28</v>
      </c>
      <c r="C43" s="19"/>
      <c r="D43" s="19">
        <v>5.4</v>
      </c>
      <c r="E43" s="19">
        <v>5.8</v>
      </c>
      <c r="F43" s="19">
        <v>6.2</v>
      </c>
      <c r="G43" s="32">
        <f>+Assumptions!G48</f>
        <v>0</v>
      </c>
      <c r="H43" s="32">
        <f>+Assumptions!H48</f>
        <v>0</v>
      </c>
      <c r="I43" s="32">
        <f>+Assumptions!I48</f>
        <v>0</v>
      </c>
      <c r="J43" s="32">
        <f>+Assumptions!J48</f>
        <v>0</v>
      </c>
      <c r="K43" s="32">
        <f>+Assumptions!K48</f>
        <v>0</v>
      </c>
      <c r="L43" s="16"/>
    </row>
    <row r="44" spans="2:12" x14ac:dyDescent="0.25">
      <c r="B44" s="6" t="s">
        <v>29</v>
      </c>
      <c r="C44" s="17"/>
      <c r="D44" s="17">
        <f t="shared" ref="D44:G44" si="31">+D42+D43</f>
        <v>79.434323961192945</v>
      </c>
      <c r="E44" s="17">
        <f t="shared" si="31"/>
        <v>62.910707360057444</v>
      </c>
      <c r="F44" s="17">
        <f t="shared" si="31"/>
        <v>45.371673762853831</v>
      </c>
      <c r="G44" s="17">
        <f t="shared" si="31"/>
        <v>20.156298149817992</v>
      </c>
      <c r="H44" s="17">
        <f t="shared" ref="H44:K44" si="32">+H42+H43</f>
        <v>0</v>
      </c>
      <c r="I44" s="17">
        <f t="shared" si="32"/>
        <v>0</v>
      </c>
      <c r="J44" s="17">
        <f t="shared" si="32"/>
        <v>0</v>
      </c>
      <c r="K44" s="17">
        <f t="shared" si="32"/>
        <v>0</v>
      </c>
      <c r="L44" s="16"/>
    </row>
    <row r="45" spans="2:12" x14ac:dyDescent="0.25">
      <c r="B45" s="12" t="s">
        <v>31</v>
      </c>
      <c r="C45" s="18"/>
      <c r="D45" s="18">
        <f t="shared" ref="D45:G45" si="33">+D41+D44</f>
        <v>131.19350204338474</v>
      </c>
      <c r="E45" s="18">
        <f t="shared" si="33"/>
        <v>124.73632927786565</v>
      </c>
      <c r="F45" s="18">
        <f t="shared" si="33"/>
        <v>115.52415869436068</v>
      </c>
      <c r="G45" s="18" t="e">
        <f t="shared" si="33"/>
        <v>#DIV/0!</v>
      </c>
      <c r="H45" s="18" t="e">
        <f t="shared" ref="H45:K45" si="34">+H41+H44</f>
        <v>#DIV/0!</v>
      </c>
      <c r="I45" s="18" t="e">
        <f t="shared" si="34"/>
        <v>#DIV/0!</v>
      </c>
      <c r="J45" s="18" t="e">
        <f t="shared" si="34"/>
        <v>#DIV/0!</v>
      </c>
      <c r="K45" s="18" t="e">
        <f t="shared" si="34"/>
        <v>#DIV/0!</v>
      </c>
      <c r="L45" s="16"/>
    </row>
    <row r="46" spans="2:12" x14ac:dyDescent="0.25">
      <c r="B46" s="1" t="s">
        <v>32</v>
      </c>
      <c r="C46" s="19"/>
      <c r="D46" s="19">
        <v>100</v>
      </c>
      <c r="E46" s="19">
        <v>100</v>
      </c>
      <c r="F46" s="19">
        <v>100</v>
      </c>
      <c r="G46" s="32">
        <f>+Assumptions!G49</f>
        <v>0</v>
      </c>
      <c r="H46" s="32">
        <f>+Assumptions!H49</f>
        <v>0</v>
      </c>
      <c r="I46" s="32">
        <f>+Assumptions!I49</f>
        <v>0</v>
      </c>
      <c r="J46" s="32">
        <f>+Assumptions!J49</f>
        <v>0</v>
      </c>
      <c r="K46" s="32">
        <f>+Assumptions!K49</f>
        <v>0</v>
      </c>
      <c r="L46" s="16"/>
    </row>
    <row r="47" spans="2:12" x14ac:dyDescent="0.25">
      <c r="B47" s="1" t="s">
        <v>33</v>
      </c>
      <c r="C47" s="19"/>
      <c r="D47" s="19">
        <v>311.02159999999998</v>
      </c>
      <c r="E47" s="19">
        <v>388.82174422493131</v>
      </c>
      <c r="F47" s="19">
        <v>483.35515140828988</v>
      </c>
      <c r="G47" s="32">
        <f>+Assumptions!G62</f>
        <v>258.43045140828985</v>
      </c>
      <c r="H47" s="32">
        <f>+Assumptions!H62</f>
        <v>33.505751408289825</v>
      </c>
      <c r="I47" s="32">
        <f>+Assumptions!I62</f>
        <v>-191.4189485917102</v>
      </c>
      <c r="J47" s="32">
        <f>+Assumptions!J62</f>
        <v>-416.34364859171023</v>
      </c>
      <c r="K47" s="32">
        <f>+Assumptions!K62</f>
        <v>-641.26834859171026</v>
      </c>
      <c r="L47" s="16"/>
    </row>
    <row r="48" spans="2:12" x14ac:dyDescent="0.25">
      <c r="B48" s="12" t="s">
        <v>34</v>
      </c>
      <c r="C48" s="18"/>
      <c r="D48" s="18">
        <f t="shared" ref="D48:G48" si="35">+D46+D47</f>
        <v>411.02159999999998</v>
      </c>
      <c r="E48" s="18">
        <f t="shared" si="35"/>
        <v>488.82174422493131</v>
      </c>
      <c r="F48" s="18">
        <f t="shared" si="35"/>
        <v>583.35515140828988</v>
      </c>
      <c r="G48" s="18">
        <f t="shared" si="35"/>
        <v>258.43045140828985</v>
      </c>
      <c r="H48" s="18">
        <f t="shared" ref="H48:K48" si="36">+H46+H47</f>
        <v>33.505751408289825</v>
      </c>
      <c r="I48" s="18">
        <f t="shared" si="36"/>
        <v>-191.4189485917102</v>
      </c>
      <c r="J48" s="18">
        <f t="shared" si="36"/>
        <v>-416.34364859171023</v>
      </c>
      <c r="K48" s="18">
        <f t="shared" si="36"/>
        <v>-641.26834859171026</v>
      </c>
      <c r="L48" s="16"/>
    </row>
    <row r="49" spans="1:11" x14ac:dyDescent="0.25">
      <c r="B49" s="1" t="s">
        <v>61</v>
      </c>
      <c r="C49" s="20"/>
      <c r="D49" s="20">
        <f>+D38-D45-D48</f>
        <v>0</v>
      </c>
      <c r="E49" s="20">
        <f>+E38-E45-E48</f>
        <v>0</v>
      </c>
      <c r="F49" s="20">
        <f>+F38-F45-F48</f>
        <v>0</v>
      </c>
      <c r="G49" s="20" t="e">
        <f t="shared" ref="G49" si="37">+G38-G45-G48</f>
        <v>#DIV/0!</v>
      </c>
      <c r="H49" s="20" t="e">
        <f t="shared" ref="H49:K49" si="38">+H38-H45-H48</f>
        <v>#DIV/0!</v>
      </c>
      <c r="I49" s="20" t="e">
        <f t="shared" si="38"/>
        <v>#DIV/0!</v>
      </c>
      <c r="J49" s="20" t="e">
        <f t="shared" si="38"/>
        <v>#DIV/0!</v>
      </c>
      <c r="K49" s="20" t="e">
        <f t="shared" si="38"/>
        <v>#DIV/0!</v>
      </c>
    </row>
    <row r="51" spans="1:11" x14ac:dyDescent="0.25">
      <c r="B51" s="2" t="s">
        <v>114</v>
      </c>
    </row>
    <row r="52" spans="1:11" s="21" customFormat="1" x14ac:dyDescent="0.25">
      <c r="B52" s="21" t="s">
        <v>135</v>
      </c>
      <c r="D52" s="53">
        <f>+D33/D41</f>
        <v>8.5707524439228724</v>
      </c>
      <c r="E52" s="53">
        <f t="shared" ref="E52:K52" si="39">+E33/E41</f>
        <v>7.913839898824623</v>
      </c>
      <c r="F52" s="53">
        <f t="shared" si="39"/>
        <v>7.8535109717148588</v>
      </c>
      <c r="G52" s="53" t="e">
        <f t="shared" si="39"/>
        <v>#DIV/0!</v>
      </c>
      <c r="H52" s="53" t="e">
        <f t="shared" si="39"/>
        <v>#DIV/0!</v>
      </c>
      <c r="I52" s="53" t="e">
        <f t="shared" si="39"/>
        <v>#DIV/0!</v>
      </c>
      <c r="J52" s="53" t="e">
        <f t="shared" si="39"/>
        <v>#DIV/0!</v>
      </c>
      <c r="K52" s="53" t="e">
        <f t="shared" si="39"/>
        <v>#DIV/0!</v>
      </c>
    </row>
    <row r="53" spans="1:11" x14ac:dyDescent="0.25">
      <c r="B53" s="1" t="s">
        <v>113</v>
      </c>
      <c r="C53" s="41"/>
      <c r="D53" s="54">
        <f t="shared" ref="D53:K53" si="40">+D42/D48</f>
        <v>0.18012270878511724</v>
      </c>
      <c r="E53" s="54">
        <f t="shared" si="40"/>
        <v>0.11683340202185842</v>
      </c>
      <c r="F53" s="54">
        <f t="shared" si="40"/>
        <v>6.7148929204256913E-2</v>
      </c>
      <c r="G53" s="54">
        <f t="shared" si="40"/>
        <v>7.7995058399574602E-2</v>
      </c>
      <c r="H53" s="54">
        <f t="shared" si="40"/>
        <v>0</v>
      </c>
      <c r="I53" s="54">
        <f t="shared" si="40"/>
        <v>0</v>
      </c>
      <c r="J53" s="54">
        <f t="shared" si="40"/>
        <v>0</v>
      </c>
      <c r="K53" s="54">
        <f t="shared" si="40"/>
        <v>0</v>
      </c>
    </row>
    <row r="54" spans="1:11" x14ac:dyDescent="0.25">
      <c r="B54" s="1" t="s">
        <v>134</v>
      </c>
      <c r="C54" s="41"/>
      <c r="D54" s="54">
        <f>+D42/D18</f>
        <v>0.3482329443141719</v>
      </c>
      <c r="E54" s="54">
        <f t="shared" ref="E54:K54" si="41">+E42/E18</f>
        <v>0.20873949137076095</v>
      </c>
      <c r="F54" s="54">
        <f t="shared" si="41"/>
        <v>0.11628013785258087</v>
      </c>
      <c r="G54" s="54">
        <f t="shared" si="41"/>
        <v>-8.9613537996573914E-2</v>
      </c>
      <c r="H54" s="54">
        <f t="shared" si="41"/>
        <v>0</v>
      </c>
      <c r="I54" s="54">
        <f t="shared" si="41"/>
        <v>0</v>
      </c>
      <c r="J54" s="54">
        <f t="shared" si="41"/>
        <v>0</v>
      </c>
      <c r="K54" s="54">
        <f t="shared" si="41"/>
        <v>0</v>
      </c>
    </row>
    <row r="56" spans="1:11" x14ac:dyDescent="0.25">
      <c r="A56" s="74">
        <v>3</v>
      </c>
      <c r="B56" s="74" t="s">
        <v>41</v>
      </c>
      <c r="C56" s="75"/>
      <c r="D56" s="75">
        <v>2017</v>
      </c>
      <c r="E56" s="75">
        <f t="shared" ref="E56:K56" si="42">+D56+1</f>
        <v>2018</v>
      </c>
      <c r="F56" s="75">
        <f t="shared" si="42"/>
        <v>2019</v>
      </c>
      <c r="G56" s="76">
        <f t="shared" si="42"/>
        <v>2020</v>
      </c>
      <c r="H56" s="76">
        <f t="shared" si="42"/>
        <v>2021</v>
      </c>
      <c r="I56" s="76">
        <f t="shared" si="42"/>
        <v>2022</v>
      </c>
      <c r="J56" s="76">
        <f t="shared" si="42"/>
        <v>2023</v>
      </c>
      <c r="K56" s="76">
        <f t="shared" si="42"/>
        <v>2024</v>
      </c>
    </row>
    <row r="57" spans="1:11" x14ac:dyDescent="0.25">
      <c r="B57" s="1" t="s">
        <v>7</v>
      </c>
      <c r="C57" s="16"/>
      <c r="D57" s="16"/>
      <c r="E57" s="16">
        <f t="shared" ref="E57:J57" si="43">+E14</f>
        <v>194.50036056232838</v>
      </c>
      <c r="F57" s="16">
        <f t="shared" si="43"/>
        <v>236.3335179583965</v>
      </c>
      <c r="G57" s="86"/>
      <c r="H57" s="86"/>
      <c r="I57" s="86"/>
      <c r="J57" s="86"/>
      <c r="K57" s="86"/>
    </row>
    <row r="58" spans="1:11" x14ac:dyDescent="0.25">
      <c r="B58" s="1" t="s">
        <v>42</v>
      </c>
      <c r="C58" s="16"/>
      <c r="D58" s="16"/>
      <c r="E58" s="16">
        <f>-PPE!E6</f>
        <v>17.2</v>
      </c>
      <c r="F58" s="16">
        <f>-PPE!F6</f>
        <v>25.695999999999998</v>
      </c>
      <c r="G58" s="86"/>
      <c r="H58" s="86"/>
      <c r="I58" s="86"/>
      <c r="J58" s="86"/>
      <c r="K58" s="86"/>
    </row>
    <row r="59" spans="1:11" x14ac:dyDescent="0.25">
      <c r="B59" s="1" t="s">
        <v>43</v>
      </c>
      <c r="C59" s="16"/>
      <c r="D59" s="16"/>
      <c r="E59" s="16">
        <f t="shared" ref="E59:K60" si="44">-E30+D30</f>
        <v>-11.769863013698625</v>
      </c>
      <c r="F59" s="16">
        <f t="shared" si="44"/>
        <v>-13.578082191780808</v>
      </c>
      <c r="G59" s="86"/>
      <c r="H59" s="86"/>
      <c r="I59" s="86"/>
      <c r="J59" s="86"/>
      <c r="K59" s="86"/>
    </row>
    <row r="60" spans="1:11" x14ac:dyDescent="0.25">
      <c r="B60" s="1" t="s">
        <v>44</v>
      </c>
      <c r="C60" s="16"/>
      <c r="D60" s="16"/>
      <c r="E60" s="16">
        <f t="shared" si="44"/>
        <v>-9.1740821917808262</v>
      </c>
      <c r="F60" s="16">
        <f t="shared" si="44"/>
        <v>-10.21265753424656</v>
      </c>
      <c r="G60" s="86"/>
      <c r="H60" s="86"/>
      <c r="I60" s="86"/>
      <c r="J60" s="86"/>
      <c r="K60" s="86"/>
    </row>
    <row r="61" spans="1:11" x14ac:dyDescent="0.25">
      <c r="B61" s="1" t="s">
        <v>45</v>
      </c>
      <c r="C61" s="16"/>
      <c r="D61" s="16"/>
      <c r="E61" s="16">
        <f t="shared" ref="E61:K61" si="45">+E39-D39</f>
        <v>9.6664438356164268</v>
      </c>
      <c r="F61" s="16">
        <f t="shared" si="45"/>
        <v>8.2268630136986403</v>
      </c>
      <c r="G61" s="86"/>
      <c r="H61" s="86"/>
      <c r="I61" s="86"/>
      <c r="J61" s="86"/>
      <c r="K61" s="86"/>
    </row>
    <row r="62" spans="1:11" x14ac:dyDescent="0.25">
      <c r="B62" s="1" t="s">
        <v>46</v>
      </c>
      <c r="C62" s="16"/>
      <c r="D62" s="16"/>
      <c r="E62" s="16">
        <f t="shared" ref="E62:K62" si="46">-E32+D32</f>
        <v>1</v>
      </c>
      <c r="F62" s="16">
        <f t="shared" si="46"/>
        <v>0</v>
      </c>
      <c r="G62" s="86"/>
      <c r="H62" s="86"/>
      <c r="I62" s="86"/>
      <c r="J62" s="86"/>
      <c r="K62" s="86"/>
    </row>
    <row r="63" spans="1:11" x14ac:dyDescent="0.25">
      <c r="B63" s="1" t="s">
        <v>47</v>
      </c>
      <c r="C63" s="16"/>
      <c r="D63" s="16"/>
      <c r="E63" s="16">
        <f t="shared" ref="E63:K63" si="47">-E36+D36</f>
        <v>-0.40000000000000036</v>
      </c>
      <c r="F63" s="16">
        <f t="shared" si="47"/>
        <v>-0.5</v>
      </c>
      <c r="G63" s="86"/>
      <c r="H63" s="86"/>
      <c r="I63" s="86"/>
      <c r="J63" s="86"/>
      <c r="K63" s="86"/>
    </row>
    <row r="64" spans="1:11" x14ac:dyDescent="0.25">
      <c r="B64" s="1" t="s">
        <v>48</v>
      </c>
      <c r="C64" s="16"/>
      <c r="D64" s="16"/>
      <c r="E64" s="16">
        <f t="shared" ref="E64:K64" si="48">+E40-D40</f>
        <v>0.39999999999999991</v>
      </c>
      <c r="F64" s="16">
        <f t="shared" si="48"/>
        <v>0.10000000000000009</v>
      </c>
      <c r="G64" s="86"/>
      <c r="H64" s="86"/>
      <c r="I64" s="86"/>
      <c r="J64" s="86"/>
      <c r="K64" s="86"/>
    </row>
    <row r="65" spans="2:11" x14ac:dyDescent="0.25">
      <c r="B65" s="1" t="s">
        <v>49</v>
      </c>
      <c r="C65" s="16"/>
      <c r="D65" s="16"/>
      <c r="E65" s="16">
        <f t="shared" ref="E65:K65" si="49">+E43-D43</f>
        <v>0.39999999999999947</v>
      </c>
      <c r="F65" s="16">
        <f t="shared" si="49"/>
        <v>0.40000000000000036</v>
      </c>
      <c r="G65" s="86"/>
      <c r="H65" s="86"/>
      <c r="I65" s="86"/>
      <c r="J65" s="86"/>
      <c r="K65" s="86"/>
    </row>
    <row r="66" spans="2:11" x14ac:dyDescent="0.25">
      <c r="B66" s="1" t="s">
        <v>136</v>
      </c>
      <c r="C66" s="16"/>
      <c r="D66" s="16"/>
      <c r="E66" s="16">
        <f t="shared" ref="E66:J66" si="50">-E11</f>
        <v>4.4420594376715759</v>
      </c>
      <c r="F66" s="16">
        <f t="shared" si="50"/>
        <v>3.4266424416034469</v>
      </c>
      <c r="G66" s="89"/>
      <c r="H66" s="89"/>
      <c r="I66" s="89"/>
      <c r="J66" s="89"/>
      <c r="K66" s="89"/>
    </row>
    <row r="67" spans="2:11" x14ac:dyDescent="0.25">
      <c r="B67" s="6" t="s">
        <v>62</v>
      </c>
      <c r="C67" s="17"/>
      <c r="D67" s="17"/>
      <c r="E67" s="17">
        <f>SUM(E57:E66)</f>
        <v>206.26491863013695</v>
      </c>
      <c r="F67" s="17">
        <f>SUM(F57:F66)</f>
        <v>249.89228368767118</v>
      </c>
      <c r="G67" s="91"/>
      <c r="H67" s="91"/>
      <c r="I67" s="91"/>
      <c r="J67" s="91"/>
      <c r="K67" s="91"/>
    </row>
    <row r="68" spans="2:11" x14ac:dyDescent="0.25">
      <c r="B68" s="1" t="s">
        <v>52</v>
      </c>
      <c r="C68" s="16"/>
      <c r="D68" s="16"/>
      <c r="E68" s="16">
        <f>-PPE!E5</f>
        <v>-42.48</v>
      </c>
      <c r="F68" s="16">
        <f>-PPE!F5</f>
        <v>-48.851999999999997</v>
      </c>
      <c r="G68" s="92"/>
      <c r="H68" s="92"/>
      <c r="I68" s="92"/>
      <c r="J68" s="92"/>
      <c r="K68" s="92"/>
    </row>
    <row r="69" spans="2:11" x14ac:dyDescent="0.25">
      <c r="B69" s="6" t="s">
        <v>63</v>
      </c>
      <c r="C69" s="17"/>
      <c r="D69" s="17"/>
      <c r="E69" s="17">
        <f>+E67+E68</f>
        <v>163.78491863013696</v>
      </c>
      <c r="F69" s="17">
        <f>+F67+F68</f>
        <v>201.04028368767118</v>
      </c>
      <c r="G69" s="90"/>
      <c r="H69" s="90"/>
      <c r="I69" s="90"/>
      <c r="J69" s="90"/>
      <c r="K69" s="90"/>
    </row>
    <row r="70" spans="2:11" x14ac:dyDescent="0.25">
      <c r="B70" s="1" t="s">
        <v>64</v>
      </c>
      <c r="C70" s="16"/>
      <c r="D70" s="16"/>
      <c r="E70" s="16">
        <v>0</v>
      </c>
      <c r="F70" s="16">
        <v>0</v>
      </c>
      <c r="G70" s="86"/>
      <c r="H70" s="86"/>
      <c r="I70" s="86"/>
      <c r="J70" s="86"/>
      <c r="K70" s="86"/>
    </row>
    <row r="71" spans="2:11" x14ac:dyDescent="0.25">
      <c r="B71" s="1" t="s">
        <v>65</v>
      </c>
      <c r="C71" s="16"/>
      <c r="D71" s="16"/>
      <c r="E71" s="16">
        <f>+'Debt Schedule'!E9</f>
        <v>-16.923616601135492</v>
      </c>
      <c r="F71" s="16">
        <f>+'Debt Schedule'!F9</f>
        <v>-17.939033597203618</v>
      </c>
      <c r="G71" s="86"/>
      <c r="H71" s="86"/>
      <c r="I71" s="86"/>
      <c r="J71" s="86"/>
      <c r="K71" s="86"/>
    </row>
    <row r="72" spans="2:11" x14ac:dyDescent="0.25">
      <c r="B72" s="1" t="s">
        <v>6</v>
      </c>
      <c r="C72" s="16"/>
      <c r="D72" s="16"/>
      <c r="E72" s="16">
        <f t="shared" ref="E72:J72" si="51">+E11</f>
        <v>-4.4420594376715759</v>
      </c>
      <c r="F72" s="16">
        <f t="shared" si="51"/>
        <v>-3.4266424416034469</v>
      </c>
      <c r="G72" s="86"/>
      <c r="H72" s="86"/>
      <c r="I72" s="86"/>
      <c r="J72" s="86"/>
      <c r="K72" s="86"/>
    </row>
    <row r="73" spans="2:11" x14ac:dyDescent="0.25">
      <c r="B73" s="1" t="s">
        <v>66</v>
      </c>
      <c r="C73" s="16"/>
      <c r="D73" s="16"/>
      <c r="E73" s="16">
        <f t="shared" ref="E73:K73" si="52">+E47-D47-E14</f>
        <v>-116.70021633739705</v>
      </c>
      <c r="F73" s="16">
        <f t="shared" si="52"/>
        <v>-141.80011077503792</v>
      </c>
      <c r="G73" s="86"/>
      <c r="H73" s="86"/>
      <c r="I73" s="86"/>
      <c r="J73" s="86"/>
      <c r="K73" s="86"/>
    </row>
    <row r="74" spans="2:11" x14ac:dyDescent="0.25">
      <c r="B74" s="2" t="s">
        <v>67</v>
      </c>
      <c r="C74" s="25"/>
      <c r="D74" s="25"/>
      <c r="E74" s="25">
        <f>+E70+E71+E72+E73</f>
        <v>-138.06589237620412</v>
      </c>
      <c r="F74" s="25">
        <f>+F70+F71+F72+F73</f>
        <v>-163.16578681384499</v>
      </c>
      <c r="G74" s="88"/>
      <c r="H74" s="88"/>
      <c r="I74" s="88"/>
      <c r="J74" s="88"/>
      <c r="K74" s="88"/>
    </row>
    <row r="75" spans="2:11" x14ac:dyDescent="0.25">
      <c r="B75" s="1" t="s">
        <v>68</v>
      </c>
      <c r="C75" s="16"/>
      <c r="D75" s="16"/>
      <c r="E75" s="16">
        <f>+D77</f>
        <v>238.11263628995982</v>
      </c>
      <c r="F75" s="16">
        <f>+E77</f>
        <v>263.83166254389266</v>
      </c>
      <c r="G75" s="86"/>
      <c r="H75" s="86"/>
      <c r="I75" s="86"/>
      <c r="J75" s="86"/>
      <c r="K75" s="86"/>
    </row>
    <row r="76" spans="2:11" x14ac:dyDescent="0.25">
      <c r="B76" s="1" t="s">
        <v>69</v>
      </c>
      <c r="C76" s="16"/>
      <c r="D76" s="16"/>
      <c r="E76" s="16">
        <f>+E69+E74</f>
        <v>25.719026253932839</v>
      </c>
      <c r="F76" s="16">
        <f>+F69+F74</f>
        <v>37.874496873826189</v>
      </c>
      <c r="G76" s="89"/>
      <c r="H76" s="89"/>
      <c r="I76" s="89"/>
      <c r="J76" s="89"/>
      <c r="K76" s="89"/>
    </row>
    <row r="77" spans="2:11" x14ac:dyDescent="0.25">
      <c r="B77" s="12" t="s">
        <v>70</v>
      </c>
      <c r="C77" s="18"/>
      <c r="D77" s="18">
        <f>+D29</f>
        <v>238.11263628995982</v>
      </c>
      <c r="E77" s="18">
        <f>+E75+E76</f>
        <v>263.83166254389266</v>
      </c>
      <c r="F77" s="18">
        <f>+F75+F76</f>
        <v>301.70615941771882</v>
      </c>
      <c r="G77" s="93"/>
      <c r="H77" s="93"/>
      <c r="I77" s="93"/>
      <c r="J77" s="93"/>
      <c r="K77" s="93"/>
    </row>
    <row r="78" spans="2:11" x14ac:dyDescent="0.25">
      <c r="B78" s="1" t="s">
        <v>61</v>
      </c>
      <c r="E78" s="20">
        <f t="shared" ref="E78:J78" si="53">+E77-E29</f>
        <v>0</v>
      </c>
      <c r="F78" s="20">
        <f t="shared" si="53"/>
        <v>0</v>
      </c>
      <c r="G78" s="20">
        <f t="shared" ref="G78" si="54">+G77-G29</f>
        <v>0</v>
      </c>
      <c r="H78" s="20">
        <f t="shared" si="53"/>
        <v>0</v>
      </c>
      <c r="I78" s="20">
        <f t="shared" si="53"/>
        <v>0</v>
      </c>
      <c r="J78" s="20">
        <f t="shared" si="53"/>
        <v>0</v>
      </c>
      <c r="K78" s="20">
        <f t="shared" ref="K78" si="55">+K77-K29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50AE4-4A05-44FB-B06D-14C9C4159C17}">
  <dimension ref="B3:O85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L55" sqref="L55"/>
    </sheetView>
  </sheetViews>
  <sheetFormatPr defaultRowHeight="15" x14ac:dyDescent="0.25"/>
  <cols>
    <col min="1" max="1" width="3.42578125" style="1" customWidth="1"/>
    <col min="2" max="2" width="19" style="1" bestFit="1" customWidth="1"/>
    <col min="3" max="16384" width="9.140625" style="1"/>
  </cols>
  <sheetData>
    <row r="3" spans="2:15" x14ac:dyDescent="0.25">
      <c r="B3" s="2" t="s">
        <v>50</v>
      </c>
      <c r="C3" s="3"/>
      <c r="D3" s="3">
        <v>2017</v>
      </c>
      <c r="E3" s="3">
        <f t="shared" ref="E3:K3" si="0">+D3+1</f>
        <v>2018</v>
      </c>
      <c r="F3" s="3">
        <f t="shared" si="0"/>
        <v>2019</v>
      </c>
      <c r="G3" s="4">
        <f t="shared" si="0"/>
        <v>2020</v>
      </c>
      <c r="H3" s="4">
        <f t="shared" si="0"/>
        <v>2021</v>
      </c>
      <c r="I3" s="4">
        <f t="shared" si="0"/>
        <v>2022</v>
      </c>
      <c r="J3" s="4">
        <f t="shared" si="0"/>
        <v>2023</v>
      </c>
      <c r="K3" s="4">
        <f t="shared" si="0"/>
        <v>2024</v>
      </c>
      <c r="L3" s="4">
        <f t="shared" ref="L3" si="1">+K3+1</f>
        <v>2025</v>
      </c>
      <c r="M3" s="4">
        <f t="shared" ref="M3" si="2">+L3+1</f>
        <v>2026</v>
      </c>
      <c r="N3" s="4">
        <f t="shared" ref="N3" si="3">+M3+1</f>
        <v>2027</v>
      </c>
      <c r="O3" s="4">
        <f t="shared" ref="O3" si="4">+N3+1</f>
        <v>2028</v>
      </c>
    </row>
    <row r="4" spans="2:15" x14ac:dyDescent="0.25">
      <c r="B4" s="1" t="s">
        <v>51</v>
      </c>
      <c r="C4" s="16"/>
      <c r="D4" s="16">
        <f>+D18+D26+D34+D42+D50+D58+D66+D74+D82</f>
        <v>50</v>
      </c>
      <c r="E4" s="16">
        <f t="shared" ref="E4:K7" si="5">+E18+E26+E34+E42+E50+E58+E66+E74+E82</f>
        <v>76</v>
      </c>
      <c r="F4" s="16">
        <f t="shared" si="5"/>
        <v>101.28</v>
      </c>
      <c r="G4" s="16">
        <f t="shared" si="5"/>
        <v>124.43600000000001</v>
      </c>
      <c r="H4" s="16">
        <f t="shared" si="5"/>
        <v>88.969599999999986</v>
      </c>
      <c r="I4" s="16">
        <f t="shared" ref="I4:K4" si="6">+I18+I26+I34+I42+I50+I58+I66+I74+I82</f>
        <v>53.503199999999993</v>
      </c>
      <c r="J4" s="16">
        <f t="shared" si="6"/>
        <v>28.036799999999996</v>
      </c>
      <c r="K4" s="16">
        <f t="shared" si="6"/>
        <v>9.7703999999999986</v>
      </c>
      <c r="M4" s="16"/>
    </row>
    <row r="5" spans="2:15" x14ac:dyDescent="0.25">
      <c r="B5" s="1" t="s">
        <v>52</v>
      </c>
      <c r="C5" s="16"/>
      <c r="D5" s="16">
        <f>+D19+D27+D35+D43+D51+D59+D67+D75+D83</f>
        <v>36</v>
      </c>
      <c r="E5" s="16">
        <f t="shared" si="5"/>
        <v>42.48</v>
      </c>
      <c r="F5" s="16">
        <f t="shared" si="5"/>
        <v>48.851999999999997</v>
      </c>
      <c r="G5" s="16">
        <f t="shared" si="5"/>
        <v>0</v>
      </c>
      <c r="H5" s="16">
        <f t="shared" si="5"/>
        <v>0</v>
      </c>
      <c r="I5" s="16">
        <f t="shared" ref="I5:K5" si="7">+I19+I27+I35+I43+I51+I59+I67+I75+I83</f>
        <v>0</v>
      </c>
      <c r="J5" s="16">
        <f t="shared" si="7"/>
        <v>0</v>
      </c>
      <c r="K5" s="16">
        <f t="shared" si="7"/>
        <v>0</v>
      </c>
    </row>
    <row r="6" spans="2:15" x14ac:dyDescent="0.25">
      <c r="B6" s="1" t="s">
        <v>53</v>
      </c>
      <c r="C6" s="16"/>
      <c r="D6" s="16">
        <f>+D20+D28+D36+D44+D52+D60+D68+D76+D84</f>
        <v>-10</v>
      </c>
      <c r="E6" s="16">
        <f t="shared" si="5"/>
        <v>-17.2</v>
      </c>
      <c r="F6" s="16">
        <f t="shared" si="5"/>
        <v>-25.695999999999998</v>
      </c>
      <c r="G6" s="16">
        <f t="shared" si="5"/>
        <v>-35.466399999999993</v>
      </c>
      <c r="H6" s="16">
        <f t="shared" si="5"/>
        <v>-35.466399999999993</v>
      </c>
      <c r="I6" s="16">
        <f t="shared" ref="I6:K6" si="8">+I20+I28+I36+I44+I52+I60+I68+I76+I84</f>
        <v>-25.466399999999997</v>
      </c>
      <c r="J6" s="16">
        <f t="shared" si="8"/>
        <v>-18.266399999999997</v>
      </c>
      <c r="K6" s="16">
        <f t="shared" si="8"/>
        <v>-9.7703999999999986</v>
      </c>
    </row>
    <row r="7" spans="2:15" x14ac:dyDescent="0.25">
      <c r="B7" s="12" t="s">
        <v>54</v>
      </c>
      <c r="C7" s="18"/>
      <c r="D7" s="18">
        <f>+D21+D29+D37+D45+D53+D61+D69+D77+D85</f>
        <v>76</v>
      </c>
      <c r="E7" s="18">
        <f t="shared" si="5"/>
        <v>101.28</v>
      </c>
      <c r="F7" s="18">
        <f t="shared" si="5"/>
        <v>124.43600000000001</v>
      </c>
      <c r="G7" s="18">
        <f t="shared" si="5"/>
        <v>88.969599999999986</v>
      </c>
      <c r="H7" s="18">
        <f t="shared" si="5"/>
        <v>53.503199999999993</v>
      </c>
      <c r="I7" s="18">
        <f t="shared" si="5"/>
        <v>28.036799999999999</v>
      </c>
      <c r="J7" s="18">
        <f t="shared" si="5"/>
        <v>9.7703999999999986</v>
      </c>
      <c r="K7" s="18">
        <f t="shared" si="5"/>
        <v>0</v>
      </c>
    </row>
    <row r="8" spans="2:15" x14ac:dyDescent="0.25">
      <c r="B8" s="1" t="s">
        <v>61</v>
      </c>
      <c r="D8" s="20">
        <f>+D4+D5+D6-D7</f>
        <v>0</v>
      </c>
      <c r="E8" s="20">
        <f t="shared" ref="E8:H8" si="9">+E4+E5+E6-E7</f>
        <v>0</v>
      </c>
      <c r="F8" s="20">
        <f t="shared" si="9"/>
        <v>0</v>
      </c>
      <c r="G8" s="20">
        <f t="shared" si="9"/>
        <v>0</v>
      </c>
      <c r="H8" s="20">
        <f t="shared" si="9"/>
        <v>0</v>
      </c>
      <c r="I8" s="20">
        <f t="shared" ref="I8:K8" si="10">+I4+I5+I6-I7</f>
        <v>0</v>
      </c>
      <c r="J8" s="20">
        <f t="shared" si="10"/>
        <v>0</v>
      </c>
      <c r="K8" s="20">
        <f t="shared" si="10"/>
        <v>0</v>
      </c>
    </row>
    <row r="9" spans="2:15" x14ac:dyDescent="0.25">
      <c r="D9" s="5"/>
      <c r="E9" s="5"/>
      <c r="F9" s="5"/>
    </row>
    <row r="10" spans="2:15" x14ac:dyDescent="0.25">
      <c r="B10" s="2" t="s">
        <v>160</v>
      </c>
      <c r="D10" s="5"/>
      <c r="E10" s="5"/>
      <c r="F10" s="5"/>
    </row>
    <row r="11" spans="2:15" x14ac:dyDescent="0.25">
      <c r="B11" s="1" t="s">
        <v>90</v>
      </c>
      <c r="D11" s="16">
        <f>+Assumptions!D3</f>
        <v>1200</v>
      </c>
      <c r="E11" s="16">
        <f>+Assumptions!E3</f>
        <v>1416</v>
      </c>
      <c r="F11" s="16">
        <f>+Assumptions!F3</f>
        <v>1628.3999999999999</v>
      </c>
      <c r="G11" s="16">
        <f>+Assumptions!G3</f>
        <v>0</v>
      </c>
      <c r="H11" s="16">
        <f>+Assumptions!H3</f>
        <v>0</v>
      </c>
      <c r="I11" s="16">
        <f>+Assumptions!I3</f>
        <v>0</v>
      </c>
      <c r="J11" s="16">
        <f>+Assumptions!J3</f>
        <v>0</v>
      </c>
      <c r="K11" s="16">
        <f>+Assumptions!K3</f>
        <v>0</v>
      </c>
    </row>
    <row r="12" spans="2:15" x14ac:dyDescent="0.25">
      <c r="B12" s="1" t="s">
        <v>156</v>
      </c>
      <c r="D12" s="16">
        <f>+D5</f>
        <v>36</v>
      </c>
      <c r="E12" s="16">
        <f t="shared" ref="E12:F12" si="11">+E5</f>
        <v>42.48</v>
      </c>
      <c r="F12" s="16">
        <f t="shared" si="11"/>
        <v>48.851999999999997</v>
      </c>
      <c r="G12" s="16">
        <f>+G11*G13</f>
        <v>0</v>
      </c>
      <c r="H12" s="16">
        <f t="shared" ref="H12" si="12">+H11*H13</f>
        <v>0</v>
      </c>
      <c r="I12" s="16">
        <f t="shared" ref="I12:K12" si="13">+I11*I13</f>
        <v>0</v>
      </c>
      <c r="J12" s="16">
        <f t="shared" si="13"/>
        <v>0</v>
      </c>
      <c r="K12" s="16">
        <f t="shared" si="13"/>
        <v>0</v>
      </c>
    </row>
    <row r="13" spans="2:15" x14ac:dyDescent="0.25">
      <c r="B13" s="1" t="s">
        <v>91</v>
      </c>
      <c r="D13" s="7">
        <f>+D12/D11</f>
        <v>0.03</v>
      </c>
      <c r="E13" s="7">
        <f t="shared" ref="E13:F13" si="14">+E12/E11</f>
        <v>0.03</v>
      </c>
      <c r="F13" s="7">
        <f t="shared" si="14"/>
        <v>0.03</v>
      </c>
      <c r="G13" s="46"/>
      <c r="H13" s="46"/>
      <c r="I13" s="46"/>
      <c r="J13" s="46"/>
      <c r="K13" s="46"/>
    </row>
    <row r="14" spans="2:15" x14ac:dyDescent="0.25">
      <c r="D14" s="5"/>
      <c r="E14" s="5"/>
      <c r="F14" s="5"/>
    </row>
    <row r="15" spans="2:15" x14ac:dyDescent="0.25">
      <c r="B15" s="2" t="s">
        <v>57</v>
      </c>
    </row>
    <row r="16" spans="2:15" x14ac:dyDescent="0.25">
      <c r="B16" s="1" t="s">
        <v>52</v>
      </c>
      <c r="C16" s="68">
        <v>50</v>
      </c>
      <c r="D16" s="16"/>
      <c r="E16" s="16"/>
      <c r="F16" s="16"/>
      <c r="G16" s="16"/>
      <c r="H16" s="16"/>
      <c r="I16" s="16"/>
      <c r="J16" s="16"/>
      <c r="K16" s="16"/>
    </row>
    <row r="17" spans="2:15" x14ac:dyDescent="0.25">
      <c r="B17" s="1" t="s">
        <v>55</v>
      </c>
      <c r="C17" s="68">
        <v>5</v>
      </c>
      <c r="D17" s="16"/>
      <c r="E17" s="16"/>
      <c r="F17" s="16"/>
      <c r="G17" s="16"/>
      <c r="H17" s="16"/>
      <c r="I17" s="16"/>
      <c r="J17" s="16"/>
      <c r="K17" s="16"/>
    </row>
    <row r="18" spans="2:15" x14ac:dyDescent="0.25">
      <c r="B18" s="1" t="s">
        <v>51</v>
      </c>
      <c r="C18" s="16"/>
      <c r="D18" s="16">
        <f>+C16</f>
        <v>50</v>
      </c>
      <c r="E18" s="16">
        <f>+D21</f>
        <v>40</v>
      </c>
      <c r="F18" s="16">
        <f>+E21</f>
        <v>30</v>
      </c>
      <c r="G18" s="16">
        <f>+F21</f>
        <v>20</v>
      </c>
      <c r="H18" s="16">
        <f>+G21</f>
        <v>10</v>
      </c>
      <c r="I18" s="16"/>
      <c r="J18" s="16"/>
      <c r="K18" s="16"/>
      <c r="L18" s="16"/>
      <c r="M18" s="16"/>
      <c r="N18" s="16"/>
      <c r="O18" s="16"/>
    </row>
    <row r="19" spans="2:15" x14ac:dyDescent="0.25">
      <c r="B19" s="1" t="s">
        <v>52</v>
      </c>
      <c r="C19" s="16"/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/>
      <c r="J19" s="16"/>
      <c r="K19" s="16"/>
      <c r="L19" s="16"/>
      <c r="M19" s="16"/>
      <c r="N19" s="16"/>
      <c r="O19" s="16"/>
    </row>
    <row r="20" spans="2:15" x14ac:dyDescent="0.25">
      <c r="B20" s="1" t="s">
        <v>53</v>
      </c>
      <c r="C20" s="16"/>
      <c r="D20" s="16">
        <f>-$C$16/$C$17</f>
        <v>-10</v>
      </c>
      <c r="E20" s="16">
        <f>-$C$16/$C$17</f>
        <v>-10</v>
      </c>
      <c r="F20" s="16">
        <f>-$C$16/$C$17</f>
        <v>-10</v>
      </c>
      <c r="G20" s="16">
        <f>-$C$16/$C$17</f>
        <v>-10</v>
      </c>
      <c r="H20" s="16">
        <f>-$C$16/$C$17</f>
        <v>-10</v>
      </c>
      <c r="I20" s="16"/>
      <c r="J20" s="16"/>
      <c r="K20" s="16"/>
      <c r="L20" s="16"/>
      <c r="M20" s="16"/>
      <c r="N20" s="16"/>
      <c r="O20" s="16"/>
    </row>
    <row r="21" spans="2:15" x14ac:dyDescent="0.25">
      <c r="B21" s="12" t="s">
        <v>56</v>
      </c>
      <c r="C21" s="18">
        <f>+C16</f>
        <v>50</v>
      </c>
      <c r="D21" s="18">
        <f>+D18+D20+D19</f>
        <v>40</v>
      </c>
      <c r="E21" s="18">
        <f t="shared" ref="E21:H21" si="15">+E18+E20+E19</f>
        <v>30</v>
      </c>
      <c r="F21" s="18">
        <f t="shared" si="15"/>
        <v>20</v>
      </c>
      <c r="G21" s="18">
        <f t="shared" si="15"/>
        <v>10</v>
      </c>
      <c r="H21" s="18">
        <f t="shared" si="15"/>
        <v>0</v>
      </c>
      <c r="I21" s="51"/>
      <c r="J21" s="51"/>
      <c r="K21" s="51"/>
      <c r="L21" s="18"/>
      <c r="M21" s="18"/>
      <c r="N21" s="18"/>
      <c r="O21" s="18"/>
    </row>
    <row r="22" spans="2:15" x14ac:dyDescent="0.25">
      <c r="C22" s="13"/>
      <c r="D22" s="13"/>
      <c r="E22" s="13"/>
      <c r="F22" s="13"/>
      <c r="G22" s="13"/>
      <c r="H22" s="13"/>
      <c r="I22" s="13"/>
      <c r="J22" s="13"/>
      <c r="K22" s="13"/>
    </row>
    <row r="23" spans="2:15" x14ac:dyDescent="0.25">
      <c r="B23" s="2" t="s">
        <v>58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5" x14ac:dyDescent="0.25">
      <c r="B24" s="1" t="s">
        <v>52</v>
      </c>
      <c r="C24" s="68">
        <v>36</v>
      </c>
      <c r="D24" s="16"/>
      <c r="E24" s="16"/>
      <c r="F24" s="16"/>
      <c r="G24" s="16"/>
      <c r="H24" s="16"/>
      <c r="I24" s="16"/>
      <c r="J24" s="16"/>
      <c r="K24" s="16"/>
    </row>
    <row r="25" spans="2:15" x14ac:dyDescent="0.25">
      <c r="B25" s="1" t="s">
        <v>55</v>
      </c>
      <c r="C25" s="68">
        <v>5</v>
      </c>
      <c r="D25" s="16"/>
      <c r="E25" s="16"/>
      <c r="F25" s="16"/>
      <c r="G25" s="16"/>
      <c r="H25" s="16"/>
      <c r="I25" s="16"/>
      <c r="J25" s="16"/>
      <c r="K25" s="16"/>
    </row>
    <row r="26" spans="2:15" x14ac:dyDescent="0.25">
      <c r="B26" s="1" t="s">
        <v>51</v>
      </c>
      <c r="C26" s="16"/>
      <c r="D26" s="16">
        <v>0</v>
      </c>
      <c r="E26" s="16">
        <f>+D29</f>
        <v>36</v>
      </c>
      <c r="F26" s="16">
        <f>+E29</f>
        <v>28.8</v>
      </c>
      <c r="G26" s="16">
        <f>+F29</f>
        <v>21.6</v>
      </c>
      <c r="H26" s="16">
        <f>+G29</f>
        <v>14.400000000000002</v>
      </c>
      <c r="I26" s="16">
        <f>+H29</f>
        <v>7.200000000000002</v>
      </c>
      <c r="J26" s="16"/>
      <c r="K26" s="16"/>
      <c r="L26" s="16"/>
      <c r="M26" s="16"/>
      <c r="N26" s="16"/>
      <c r="O26" s="16"/>
    </row>
    <row r="27" spans="2:15" x14ac:dyDescent="0.25">
      <c r="B27" s="1" t="s">
        <v>52</v>
      </c>
      <c r="C27" s="16"/>
      <c r="D27" s="16">
        <f>+C24</f>
        <v>36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/>
      <c r="K27" s="16"/>
      <c r="L27" s="16"/>
      <c r="M27" s="16"/>
      <c r="N27" s="16"/>
      <c r="O27" s="16"/>
    </row>
    <row r="28" spans="2:15" x14ac:dyDescent="0.25">
      <c r="B28" s="1" t="s">
        <v>53</v>
      </c>
      <c r="C28" s="16"/>
      <c r="D28" s="16">
        <v>0</v>
      </c>
      <c r="E28" s="16">
        <f>-$C$24/$C$25</f>
        <v>-7.2</v>
      </c>
      <c r="F28" s="16">
        <f>-$C$24/$C$25</f>
        <v>-7.2</v>
      </c>
      <c r="G28" s="16">
        <f>-$C$24/$C$25</f>
        <v>-7.2</v>
      </c>
      <c r="H28" s="16">
        <f>-$C$24/$C$25</f>
        <v>-7.2</v>
      </c>
      <c r="I28" s="16">
        <f>-$C$24/$C$25</f>
        <v>-7.2</v>
      </c>
      <c r="J28" s="16"/>
      <c r="K28" s="16"/>
      <c r="L28" s="16"/>
      <c r="M28" s="16"/>
      <c r="N28" s="16"/>
      <c r="O28" s="16"/>
    </row>
    <row r="29" spans="2:15" x14ac:dyDescent="0.25">
      <c r="B29" s="12" t="s">
        <v>56</v>
      </c>
      <c r="C29" s="18"/>
      <c r="D29" s="18">
        <f>+D27+D28</f>
        <v>36</v>
      </c>
      <c r="E29" s="18">
        <f>+E26+E28+E27</f>
        <v>28.8</v>
      </c>
      <c r="F29" s="18">
        <f t="shared" ref="F29:I29" si="16">+F26+F28+F27</f>
        <v>21.6</v>
      </c>
      <c r="G29" s="18">
        <f t="shared" si="16"/>
        <v>14.400000000000002</v>
      </c>
      <c r="H29" s="18">
        <f t="shared" si="16"/>
        <v>7.200000000000002</v>
      </c>
      <c r="I29" s="18">
        <f t="shared" si="16"/>
        <v>1.7763568394002505E-15</v>
      </c>
      <c r="J29" s="51"/>
      <c r="K29" s="51"/>
      <c r="L29" s="18"/>
      <c r="M29" s="18"/>
      <c r="N29" s="18"/>
      <c r="O29" s="18"/>
    </row>
    <row r="30" spans="2:15" x14ac:dyDescent="0.25">
      <c r="C30" s="13"/>
      <c r="D30" s="13"/>
      <c r="E30" s="13"/>
      <c r="F30" s="13"/>
      <c r="G30" s="13"/>
      <c r="H30" s="13"/>
      <c r="I30" s="13"/>
      <c r="J30" s="13"/>
      <c r="K30" s="13"/>
    </row>
    <row r="31" spans="2:15" x14ac:dyDescent="0.25">
      <c r="B31" s="2" t="s">
        <v>59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5" x14ac:dyDescent="0.25">
      <c r="B32" s="1" t="s">
        <v>52</v>
      </c>
      <c r="C32" s="68">
        <v>42.48</v>
      </c>
      <c r="D32" s="16"/>
      <c r="E32" s="16"/>
      <c r="F32" s="16"/>
      <c r="G32" s="16"/>
      <c r="H32" s="16"/>
      <c r="I32" s="16"/>
      <c r="J32" s="16"/>
      <c r="K32" s="16"/>
    </row>
    <row r="33" spans="2:15" x14ac:dyDescent="0.25">
      <c r="B33" s="1" t="s">
        <v>55</v>
      </c>
      <c r="C33" s="68">
        <v>5</v>
      </c>
      <c r="D33" s="16"/>
      <c r="E33" s="16"/>
      <c r="F33" s="16"/>
      <c r="G33" s="16"/>
      <c r="H33" s="16"/>
      <c r="I33" s="16"/>
      <c r="J33" s="16"/>
      <c r="K33" s="16"/>
    </row>
    <row r="34" spans="2:15" x14ac:dyDescent="0.25">
      <c r="B34" s="1" t="s">
        <v>51</v>
      </c>
      <c r="C34" s="16"/>
      <c r="D34" s="16"/>
      <c r="E34" s="16"/>
      <c r="F34" s="16">
        <f>+E37</f>
        <v>42.48</v>
      </c>
      <c r="G34" s="16">
        <f>+F37</f>
        <v>33.983999999999995</v>
      </c>
      <c r="H34" s="16">
        <f>+G37</f>
        <v>25.487999999999996</v>
      </c>
      <c r="I34" s="16">
        <f>+H37</f>
        <v>16.991999999999997</v>
      </c>
      <c r="J34" s="16">
        <f>+I37</f>
        <v>8.4959999999999987</v>
      </c>
      <c r="K34" s="16"/>
      <c r="L34" s="16"/>
      <c r="M34" s="16"/>
      <c r="N34" s="16"/>
      <c r="O34" s="16"/>
    </row>
    <row r="35" spans="2:15" x14ac:dyDescent="0.25">
      <c r="B35" s="1" t="s">
        <v>52</v>
      </c>
      <c r="C35" s="16"/>
      <c r="D35" s="16"/>
      <c r="E35" s="16">
        <f>+C32</f>
        <v>42.48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/>
      <c r="L35" s="16"/>
      <c r="M35" s="16"/>
      <c r="N35" s="16"/>
      <c r="O35" s="16"/>
    </row>
    <row r="36" spans="2:15" x14ac:dyDescent="0.25">
      <c r="B36" s="1" t="s">
        <v>53</v>
      </c>
      <c r="C36" s="16"/>
      <c r="D36" s="16"/>
      <c r="E36" s="16"/>
      <c r="F36" s="16">
        <f>-$C$32/$C$33</f>
        <v>-8.4959999999999987</v>
      </c>
      <c r="G36" s="16">
        <f>-$C$32/$C$33</f>
        <v>-8.4959999999999987</v>
      </c>
      <c r="H36" s="16">
        <f>-$C$32/$C$33</f>
        <v>-8.4959999999999987</v>
      </c>
      <c r="I36" s="16">
        <f>-$C$32/$C$33</f>
        <v>-8.4959999999999987</v>
      </c>
      <c r="J36" s="16">
        <f>-$C$32/$C$33</f>
        <v>-8.4959999999999987</v>
      </c>
      <c r="K36" s="16"/>
      <c r="L36" s="16"/>
      <c r="M36" s="16"/>
      <c r="N36" s="16"/>
      <c r="O36" s="16"/>
    </row>
    <row r="37" spans="2:15" x14ac:dyDescent="0.25">
      <c r="B37" s="12" t="s">
        <v>56</v>
      </c>
      <c r="C37" s="18"/>
      <c r="D37" s="18"/>
      <c r="E37" s="18">
        <f>+E34+E36+E35</f>
        <v>42.48</v>
      </c>
      <c r="F37" s="18">
        <f t="shared" ref="F37" si="17">+F34+F36+F35</f>
        <v>33.983999999999995</v>
      </c>
      <c r="G37" s="18">
        <f t="shared" ref="G37" si="18">+G34+G36+G35</f>
        <v>25.487999999999996</v>
      </c>
      <c r="H37" s="18">
        <f t="shared" ref="H37" si="19">+H34+H36+H35</f>
        <v>16.991999999999997</v>
      </c>
      <c r="I37" s="18">
        <f t="shared" ref="I37:J37" si="20">+I34+I36+I35</f>
        <v>8.4959999999999987</v>
      </c>
      <c r="J37" s="18">
        <f t="shared" si="20"/>
        <v>0</v>
      </c>
      <c r="K37" s="51"/>
      <c r="L37" s="18"/>
      <c r="M37" s="18"/>
      <c r="N37" s="18"/>
      <c r="O37" s="18"/>
    </row>
    <row r="38" spans="2:15" x14ac:dyDescent="0.25">
      <c r="C38" s="13"/>
      <c r="D38" s="13"/>
      <c r="E38" s="13"/>
      <c r="F38" s="13"/>
      <c r="G38" s="13"/>
      <c r="H38" s="13"/>
      <c r="I38" s="13"/>
      <c r="J38" s="13"/>
      <c r="K38" s="13"/>
    </row>
    <row r="39" spans="2:15" x14ac:dyDescent="0.25">
      <c r="B39" s="2" t="s">
        <v>60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5" x14ac:dyDescent="0.25">
      <c r="B40" s="1" t="s">
        <v>52</v>
      </c>
      <c r="C40" s="68">
        <v>48.851999999999997</v>
      </c>
      <c r="D40" s="16"/>
      <c r="E40" s="16"/>
      <c r="F40" s="16"/>
      <c r="G40" s="16"/>
      <c r="H40" s="16"/>
      <c r="I40" s="16"/>
      <c r="J40" s="16"/>
      <c r="K40" s="16"/>
    </row>
    <row r="41" spans="2:15" x14ac:dyDescent="0.25">
      <c r="B41" s="1" t="s">
        <v>55</v>
      </c>
      <c r="C41" s="68">
        <v>5</v>
      </c>
      <c r="D41" s="16"/>
      <c r="E41" s="16"/>
      <c r="F41" s="16"/>
      <c r="G41" s="16"/>
      <c r="H41" s="16"/>
      <c r="I41" s="16"/>
      <c r="J41" s="16"/>
      <c r="K41" s="16"/>
    </row>
    <row r="42" spans="2:15" x14ac:dyDescent="0.25">
      <c r="B42" s="1" t="s">
        <v>51</v>
      </c>
      <c r="C42" s="16"/>
      <c r="D42" s="16"/>
      <c r="E42" s="16"/>
      <c r="F42" s="16"/>
      <c r="G42" s="16">
        <f>+F45</f>
        <v>48.851999999999997</v>
      </c>
      <c r="H42" s="16">
        <f>+G45</f>
        <v>39.081599999999995</v>
      </c>
      <c r="I42" s="16">
        <f>+H45</f>
        <v>29.311199999999996</v>
      </c>
      <c r="J42" s="16">
        <f>+I45</f>
        <v>19.540799999999997</v>
      </c>
      <c r="K42" s="16">
        <f>+J45</f>
        <v>9.7703999999999986</v>
      </c>
      <c r="L42" s="16"/>
      <c r="M42" s="16"/>
      <c r="N42" s="16"/>
      <c r="O42" s="16"/>
    </row>
    <row r="43" spans="2:15" x14ac:dyDescent="0.25">
      <c r="B43" s="1" t="s">
        <v>52</v>
      </c>
      <c r="C43" s="16"/>
      <c r="D43" s="16"/>
      <c r="E43" s="16"/>
      <c r="F43" s="16">
        <f>+C40</f>
        <v>48.851999999999997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/>
      <c r="M43" s="16"/>
      <c r="N43" s="16"/>
      <c r="O43" s="16"/>
    </row>
    <row r="44" spans="2:15" x14ac:dyDescent="0.25">
      <c r="B44" s="1" t="s">
        <v>53</v>
      </c>
      <c r="C44" s="16"/>
      <c r="D44" s="16"/>
      <c r="E44" s="16"/>
      <c r="F44" s="16"/>
      <c r="G44" s="16">
        <f>-$C$40/$C$41</f>
        <v>-9.7703999999999986</v>
      </c>
      <c r="H44" s="16">
        <f>-$C$40/$C$41</f>
        <v>-9.7703999999999986</v>
      </c>
      <c r="I44" s="16">
        <f>-$C$40/$C$41</f>
        <v>-9.7703999999999986</v>
      </c>
      <c r="J44" s="16">
        <f>-$C$40/$C$41</f>
        <v>-9.7703999999999986</v>
      </c>
      <c r="K44" s="16">
        <f>-$C$40/$C$41</f>
        <v>-9.7703999999999986</v>
      </c>
      <c r="L44" s="16"/>
      <c r="M44" s="16"/>
      <c r="N44" s="16"/>
      <c r="O44" s="16"/>
    </row>
    <row r="45" spans="2:15" x14ac:dyDescent="0.25">
      <c r="B45" s="12" t="s">
        <v>56</v>
      </c>
      <c r="C45" s="18"/>
      <c r="D45" s="18"/>
      <c r="E45" s="18"/>
      <c r="F45" s="18">
        <f t="shared" ref="F45" si="21">+F42+F44+F43</f>
        <v>48.851999999999997</v>
      </c>
      <c r="G45" s="18">
        <f t="shared" ref="G45" si="22">+G42+G44+G43</f>
        <v>39.081599999999995</v>
      </c>
      <c r="H45" s="18">
        <f t="shared" ref="H45" si="23">+H42+H44+H43</f>
        <v>29.311199999999996</v>
      </c>
      <c r="I45" s="18">
        <f t="shared" ref="I45" si="24">+I42+I44+I43</f>
        <v>19.540799999999997</v>
      </c>
      <c r="J45" s="18">
        <f t="shared" ref="J45:K45" si="25">+J42+J44+J43</f>
        <v>9.7703999999999986</v>
      </c>
      <c r="K45" s="18">
        <f t="shared" si="25"/>
        <v>0</v>
      </c>
      <c r="L45" s="18"/>
      <c r="M45" s="18"/>
      <c r="N45" s="18"/>
      <c r="O45" s="18"/>
    </row>
    <row r="47" spans="2:15" x14ac:dyDescent="0.25">
      <c r="B47" s="2" t="s">
        <v>129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5" x14ac:dyDescent="0.25">
      <c r="B48" s="1" t="s">
        <v>52</v>
      </c>
      <c r="C48" s="45">
        <f>+G12</f>
        <v>0</v>
      </c>
      <c r="D48" s="16"/>
      <c r="E48" s="16"/>
      <c r="F48" s="16"/>
      <c r="G48" s="16"/>
      <c r="H48" s="16"/>
      <c r="I48" s="16"/>
      <c r="J48" s="16"/>
      <c r="K48" s="16"/>
    </row>
    <row r="49" spans="2:15" x14ac:dyDescent="0.25">
      <c r="B49" s="1" t="s">
        <v>55</v>
      </c>
      <c r="C49" s="45">
        <v>5</v>
      </c>
      <c r="D49" s="16"/>
      <c r="E49" s="16"/>
      <c r="F49" s="16"/>
      <c r="G49" s="16"/>
      <c r="H49" s="16"/>
      <c r="I49" s="16"/>
      <c r="J49" s="16"/>
      <c r="K49" s="16"/>
    </row>
    <row r="50" spans="2:15" x14ac:dyDescent="0.25">
      <c r="B50" s="1" t="s">
        <v>51</v>
      </c>
      <c r="C50" s="16"/>
      <c r="D50" s="16"/>
      <c r="E50" s="16"/>
      <c r="F50" s="16"/>
      <c r="G50" s="16"/>
      <c r="H50" s="16">
        <f>+G53</f>
        <v>0</v>
      </c>
      <c r="I50" s="16">
        <f t="shared" ref="I50:K50" si="26">+H53</f>
        <v>0</v>
      </c>
      <c r="J50" s="16">
        <f t="shared" si="26"/>
        <v>0</v>
      </c>
      <c r="K50" s="16">
        <f t="shared" si="26"/>
        <v>0</v>
      </c>
      <c r="L50" s="16"/>
      <c r="M50" s="16"/>
      <c r="N50" s="16"/>
      <c r="O50" s="16"/>
    </row>
    <row r="51" spans="2:15" x14ac:dyDescent="0.25">
      <c r="B51" s="1" t="s">
        <v>52</v>
      </c>
      <c r="C51" s="16"/>
      <c r="D51" s="16"/>
      <c r="E51" s="16"/>
      <c r="F51" s="16"/>
      <c r="G51" s="16">
        <f>+$C$48</f>
        <v>0</v>
      </c>
      <c r="H51" s="16">
        <v>0</v>
      </c>
      <c r="I51" s="16">
        <v>0</v>
      </c>
      <c r="J51" s="16">
        <v>0</v>
      </c>
      <c r="K51" s="16">
        <v>0</v>
      </c>
      <c r="L51" s="16"/>
      <c r="M51" s="16"/>
      <c r="N51" s="16"/>
      <c r="O51" s="16"/>
    </row>
    <row r="52" spans="2:15" x14ac:dyDescent="0.25">
      <c r="B52" s="1" t="s">
        <v>53</v>
      </c>
      <c r="C52" s="16"/>
      <c r="D52" s="16"/>
      <c r="E52" s="16"/>
      <c r="F52" s="16"/>
      <c r="G52" s="16">
        <f>-$C$48/$C$49</f>
        <v>0</v>
      </c>
      <c r="H52" s="16">
        <f>-$C$48/$C$49</f>
        <v>0</v>
      </c>
      <c r="I52" s="16">
        <f t="shared" ref="I52:K52" si="27">-$C$48/$C$49</f>
        <v>0</v>
      </c>
      <c r="J52" s="16">
        <f t="shared" si="27"/>
        <v>0</v>
      </c>
      <c r="K52" s="16">
        <f t="shared" si="27"/>
        <v>0</v>
      </c>
      <c r="L52" s="16"/>
      <c r="M52" s="16"/>
      <c r="N52" s="16"/>
      <c r="O52" s="16"/>
    </row>
    <row r="53" spans="2:15" x14ac:dyDescent="0.25">
      <c r="B53" s="12" t="s">
        <v>56</v>
      </c>
      <c r="C53" s="18"/>
      <c r="D53" s="18"/>
      <c r="E53" s="18"/>
      <c r="F53" s="18"/>
      <c r="G53" s="18">
        <f>+G51+G52+G50</f>
        <v>0</v>
      </c>
      <c r="H53" s="18">
        <f>+H51+H52+H50</f>
        <v>0</v>
      </c>
      <c r="I53" s="18">
        <f t="shared" ref="I53:K53" si="28">+I51+I52+I50</f>
        <v>0</v>
      </c>
      <c r="J53" s="18">
        <f t="shared" si="28"/>
        <v>0</v>
      </c>
      <c r="K53" s="18">
        <f t="shared" si="28"/>
        <v>0</v>
      </c>
      <c r="L53" s="18"/>
      <c r="M53" s="18"/>
      <c r="N53" s="18"/>
      <c r="O53" s="18"/>
    </row>
    <row r="55" spans="2:15" x14ac:dyDescent="0.25">
      <c r="B55" s="2" t="s">
        <v>130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2:15" x14ac:dyDescent="0.25">
      <c r="B56" s="1" t="s">
        <v>52</v>
      </c>
      <c r="C56" s="45">
        <f>+H12</f>
        <v>0</v>
      </c>
      <c r="D56" s="16"/>
      <c r="E56" s="16"/>
      <c r="F56" s="16"/>
      <c r="G56" s="16"/>
      <c r="H56" s="16"/>
      <c r="I56" s="16"/>
      <c r="J56" s="16"/>
      <c r="K56" s="16"/>
    </row>
    <row r="57" spans="2:15" x14ac:dyDescent="0.25">
      <c r="B57" s="1" t="s">
        <v>55</v>
      </c>
      <c r="C57" s="45">
        <v>5</v>
      </c>
      <c r="D57" s="16"/>
      <c r="E57" s="16"/>
      <c r="F57" s="16"/>
      <c r="G57" s="16"/>
      <c r="H57" s="16"/>
      <c r="I57" s="16"/>
      <c r="J57" s="16"/>
      <c r="K57" s="16"/>
    </row>
    <row r="58" spans="2:15" x14ac:dyDescent="0.25">
      <c r="B58" s="1" t="s">
        <v>51</v>
      </c>
      <c r="C58" s="16"/>
      <c r="D58" s="16"/>
      <c r="E58" s="16"/>
      <c r="F58" s="16"/>
      <c r="G58" s="16"/>
      <c r="H58" s="16"/>
      <c r="I58" s="16">
        <f>+H61</f>
        <v>0</v>
      </c>
      <c r="J58" s="16">
        <f>+I61</f>
        <v>0</v>
      </c>
      <c r="K58" s="16">
        <f>+J61</f>
        <v>0</v>
      </c>
      <c r="L58" s="16"/>
      <c r="M58" s="16"/>
      <c r="N58" s="16"/>
      <c r="O58" s="16"/>
    </row>
    <row r="59" spans="2:15" x14ac:dyDescent="0.25">
      <c r="B59" s="1" t="s">
        <v>52</v>
      </c>
      <c r="C59" s="16"/>
      <c r="D59" s="16"/>
      <c r="E59" s="16"/>
      <c r="F59" s="16"/>
      <c r="G59" s="16"/>
      <c r="H59" s="16">
        <f>+C56</f>
        <v>0</v>
      </c>
      <c r="I59" s="16">
        <v>0</v>
      </c>
      <c r="J59" s="16">
        <v>0</v>
      </c>
      <c r="K59" s="16">
        <v>0</v>
      </c>
      <c r="L59" s="16"/>
      <c r="M59" s="16"/>
      <c r="N59" s="16"/>
      <c r="O59" s="16"/>
    </row>
    <row r="60" spans="2:15" x14ac:dyDescent="0.25">
      <c r="B60" s="1" t="s">
        <v>53</v>
      </c>
      <c r="C60" s="16"/>
      <c r="D60" s="16"/>
      <c r="E60" s="16"/>
      <c r="F60" s="16"/>
      <c r="G60" s="16"/>
      <c r="H60" s="16">
        <f t="shared" ref="H60:K60" si="29">-$C56/$C57</f>
        <v>0</v>
      </c>
      <c r="I60" s="16">
        <f t="shared" si="29"/>
        <v>0</v>
      </c>
      <c r="J60" s="16">
        <f t="shared" si="29"/>
        <v>0</v>
      </c>
      <c r="K60" s="16">
        <f t="shared" si="29"/>
        <v>0</v>
      </c>
      <c r="L60" s="16"/>
      <c r="M60" s="16"/>
      <c r="N60" s="16"/>
      <c r="O60" s="16"/>
    </row>
    <row r="61" spans="2:15" x14ac:dyDescent="0.25">
      <c r="B61" s="12" t="s">
        <v>56</v>
      </c>
      <c r="C61" s="18"/>
      <c r="D61" s="18"/>
      <c r="E61" s="18"/>
      <c r="F61" s="18"/>
      <c r="G61" s="18"/>
      <c r="H61" s="18">
        <f t="shared" ref="H61" si="30">+H58+H60+H59</f>
        <v>0</v>
      </c>
      <c r="I61" s="18">
        <f t="shared" ref="I61" si="31">+I58+I60+I59</f>
        <v>0</v>
      </c>
      <c r="J61" s="18">
        <f t="shared" ref="J61" si="32">+J58+J60+J59</f>
        <v>0</v>
      </c>
      <c r="K61" s="18">
        <f t="shared" ref="K61" si="33">+K58+K60+K59</f>
        <v>0</v>
      </c>
      <c r="L61" s="18"/>
      <c r="M61" s="18"/>
      <c r="N61" s="18"/>
      <c r="O61" s="18"/>
    </row>
    <row r="63" spans="2:15" x14ac:dyDescent="0.25">
      <c r="B63" s="2" t="s">
        <v>131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2:15" x14ac:dyDescent="0.25">
      <c r="B64" s="1" t="s">
        <v>52</v>
      </c>
      <c r="C64" s="45">
        <f>+I12</f>
        <v>0</v>
      </c>
      <c r="D64" s="16"/>
      <c r="E64" s="16"/>
      <c r="F64" s="16"/>
      <c r="G64" s="16"/>
      <c r="H64" s="16"/>
      <c r="I64" s="16"/>
      <c r="J64" s="16"/>
      <c r="K64" s="16"/>
    </row>
    <row r="65" spans="2:15" x14ac:dyDescent="0.25">
      <c r="B65" s="1" t="s">
        <v>55</v>
      </c>
      <c r="C65" s="45">
        <v>5</v>
      </c>
      <c r="D65" s="16"/>
      <c r="E65" s="16"/>
      <c r="F65" s="16"/>
      <c r="G65" s="16"/>
      <c r="H65" s="16"/>
      <c r="I65" s="16"/>
      <c r="J65" s="16"/>
      <c r="K65" s="16"/>
    </row>
    <row r="66" spans="2:15" x14ac:dyDescent="0.25">
      <c r="B66" s="1" t="s">
        <v>51</v>
      </c>
      <c r="C66" s="16"/>
      <c r="D66" s="16"/>
      <c r="E66" s="16"/>
      <c r="F66" s="16"/>
      <c r="G66" s="16"/>
      <c r="H66" s="16"/>
      <c r="I66" s="16"/>
      <c r="J66" s="16">
        <f>+I69</f>
        <v>0</v>
      </c>
      <c r="K66" s="16">
        <f>+J69</f>
        <v>0</v>
      </c>
      <c r="L66" s="16">
        <f t="shared" ref="L66:M66" si="34">+K69</f>
        <v>0</v>
      </c>
      <c r="M66" s="16">
        <f t="shared" si="34"/>
        <v>0</v>
      </c>
      <c r="N66" s="16"/>
      <c r="O66" s="16"/>
    </row>
    <row r="67" spans="2:15" x14ac:dyDescent="0.25">
      <c r="B67" s="1" t="s">
        <v>52</v>
      </c>
      <c r="C67" s="16"/>
      <c r="D67" s="16"/>
      <c r="E67" s="16"/>
      <c r="F67" s="16"/>
      <c r="G67" s="16"/>
      <c r="H67" s="16"/>
      <c r="I67" s="16">
        <f>+C64</f>
        <v>0</v>
      </c>
      <c r="J67" s="16">
        <v>0</v>
      </c>
      <c r="K67" s="16">
        <v>0</v>
      </c>
      <c r="L67" s="16">
        <v>0</v>
      </c>
      <c r="M67" s="16">
        <v>0</v>
      </c>
      <c r="N67" s="16"/>
      <c r="O67" s="16"/>
    </row>
    <row r="68" spans="2:15" x14ac:dyDescent="0.25">
      <c r="B68" s="1" t="s">
        <v>53</v>
      </c>
      <c r="C68" s="16"/>
      <c r="D68" s="16"/>
      <c r="E68" s="16"/>
      <c r="F68" s="16"/>
      <c r="G68" s="16"/>
      <c r="H68" s="16"/>
      <c r="I68" s="16">
        <f t="shared" ref="I68:K68" si="35">-$C64/$C65</f>
        <v>0</v>
      </c>
      <c r="J68" s="16">
        <f t="shared" si="35"/>
        <v>0</v>
      </c>
      <c r="K68" s="16">
        <f t="shared" si="35"/>
        <v>0</v>
      </c>
      <c r="L68" s="16">
        <f t="shared" ref="L68:M68" si="36">-$C64/$C65</f>
        <v>0</v>
      </c>
      <c r="M68" s="16">
        <f t="shared" si="36"/>
        <v>0</v>
      </c>
      <c r="N68" s="16"/>
      <c r="O68" s="16"/>
    </row>
    <row r="69" spans="2:15" x14ac:dyDescent="0.25">
      <c r="B69" s="12" t="s">
        <v>56</v>
      </c>
      <c r="C69" s="18"/>
      <c r="D69" s="18"/>
      <c r="E69" s="18"/>
      <c r="F69" s="18"/>
      <c r="G69" s="18"/>
      <c r="H69" s="18"/>
      <c r="I69" s="18">
        <f t="shared" ref="I69" si="37">+I66+I68+I67</f>
        <v>0</v>
      </c>
      <c r="J69" s="18">
        <f t="shared" ref="J69" si="38">+J66+J68+J67</f>
        <v>0</v>
      </c>
      <c r="K69" s="18">
        <f t="shared" ref="K69:M69" si="39">+K66+K68+K67</f>
        <v>0</v>
      </c>
      <c r="L69" s="18">
        <f t="shared" si="39"/>
        <v>0</v>
      </c>
      <c r="M69" s="18">
        <f t="shared" si="39"/>
        <v>0</v>
      </c>
      <c r="N69" s="18"/>
      <c r="O69" s="18"/>
    </row>
    <row r="71" spans="2:15" x14ac:dyDescent="0.25">
      <c r="B71" s="2" t="s">
        <v>132</v>
      </c>
      <c r="C71" s="13"/>
      <c r="D71" s="13"/>
      <c r="E71" s="13"/>
      <c r="F71" s="13"/>
      <c r="G71" s="13"/>
      <c r="H71" s="13"/>
      <c r="I71" s="13"/>
      <c r="J71" s="13"/>
      <c r="K71" s="13"/>
    </row>
    <row r="72" spans="2:15" x14ac:dyDescent="0.25">
      <c r="B72" s="1" t="s">
        <v>52</v>
      </c>
      <c r="C72" s="45">
        <f>+J12</f>
        <v>0</v>
      </c>
      <c r="D72" s="16"/>
      <c r="E72" s="16"/>
      <c r="F72" s="16"/>
      <c r="G72" s="16"/>
      <c r="H72" s="16"/>
      <c r="I72" s="16"/>
      <c r="J72" s="16"/>
      <c r="K72" s="16"/>
    </row>
    <row r="73" spans="2:15" x14ac:dyDescent="0.25">
      <c r="B73" s="1" t="s">
        <v>55</v>
      </c>
      <c r="C73" s="45">
        <v>5</v>
      </c>
      <c r="D73" s="16"/>
      <c r="E73" s="16"/>
      <c r="F73" s="16"/>
      <c r="G73" s="16"/>
      <c r="H73" s="16"/>
      <c r="I73" s="16"/>
      <c r="J73" s="16"/>
      <c r="K73" s="16"/>
    </row>
    <row r="74" spans="2:15" x14ac:dyDescent="0.25">
      <c r="B74" s="1" t="s">
        <v>51</v>
      </c>
      <c r="C74" s="16"/>
      <c r="D74" s="16"/>
      <c r="E74" s="16"/>
      <c r="F74" s="16"/>
      <c r="G74" s="16"/>
      <c r="H74" s="16"/>
      <c r="I74" s="16"/>
      <c r="J74" s="16"/>
      <c r="K74" s="16">
        <f>+J77</f>
        <v>0</v>
      </c>
      <c r="L74" s="16">
        <f t="shared" ref="L74:N74" si="40">+K77</f>
        <v>0</v>
      </c>
      <c r="M74" s="16">
        <f t="shared" si="40"/>
        <v>0</v>
      </c>
      <c r="N74" s="16">
        <f t="shared" si="40"/>
        <v>0</v>
      </c>
    </row>
    <row r="75" spans="2:15" x14ac:dyDescent="0.25">
      <c r="B75" s="1" t="s">
        <v>52</v>
      </c>
      <c r="C75" s="16"/>
      <c r="D75" s="16"/>
      <c r="E75" s="16"/>
      <c r="F75" s="16"/>
      <c r="G75" s="16"/>
      <c r="H75" s="16"/>
      <c r="I75" s="16"/>
      <c r="J75" s="16">
        <f>+C72</f>
        <v>0</v>
      </c>
      <c r="K75" s="16">
        <v>0</v>
      </c>
      <c r="L75" s="16">
        <v>0</v>
      </c>
      <c r="M75" s="16">
        <v>0</v>
      </c>
      <c r="N75" s="16">
        <v>0</v>
      </c>
    </row>
    <row r="76" spans="2:15" x14ac:dyDescent="0.25">
      <c r="B76" s="1" t="s">
        <v>53</v>
      </c>
      <c r="C76" s="16"/>
      <c r="D76" s="16"/>
      <c r="E76" s="16"/>
      <c r="F76" s="16"/>
      <c r="G76" s="16"/>
      <c r="H76" s="16"/>
      <c r="I76" s="16"/>
      <c r="J76" s="16">
        <f t="shared" ref="J76:K76" si="41">-$C72/$C73</f>
        <v>0</v>
      </c>
      <c r="K76" s="16">
        <f t="shared" si="41"/>
        <v>0</v>
      </c>
      <c r="L76" s="16">
        <f t="shared" ref="L76:N76" si="42">-$C72/$C73</f>
        <v>0</v>
      </c>
      <c r="M76" s="16">
        <f t="shared" si="42"/>
        <v>0</v>
      </c>
      <c r="N76" s="16">
        <f t="shared" si="42"/>
        <v>0</v>
      </c>
    </row>
    <row r="77" spans="2:15" x14ac:dyDescent="0.25">
      <c r="B77" s="12" t="s">
        <v>56</v>
      </c>
      <c r="C77" s="18"/>
      <c r="D77" s="18"/>
      <c r="E77" s="18"/>
      <c r="F77" s="18"/>
      <c r="G77" s="18"/>
      <c r="H77" s="18"/>
      <c r="I77" s="18"/>
      <c r="J77" s="18">
        <f t="shared" ref="J77" si="43">+J74+J76+J75</f>
        <v>0</v>
      </c>
      <c r="K77" s="18">
        <f t="shared" ref="K77:N77" si="44">+K74+K76+K75</f>
        <v>0</v>
      </c>
      <c r="L77" s="18">
        <f t="shared" si="44"/>
        <v>0</v>
      </c>
      <c r="M77" s="18">
        <f t="shared" si="44"/>
        <v>0</v>
      </c>
      <c r="N77" s="18">
        <f t="shared" si="44"/>
        <v>0</v>
      </c>
    </row>
    <row r="79" spans="2:15" x14ac:dyDescent="0.25">
      <c r="B79" s="2" t="s">
        <v>133</v>
      </c>
      <c r="C79" s="13"/>
      <c r="D79" s="13"/>
      <c r="E79" s="13"/>
      <c r="F79" s="13"/>
      <c r="G79" s="13"/>
      <c r="H79" s="13"/>
      <c r="I79" s="13"/>
      <c r="J79" s="13"/>
      <c r="K79" s="13"/>
    </row>
    <row r="80" spans="2:15" x14ac:dyDescent="0.25">
      <c r="B80" s="1" t="s">
        <v>52</v>
      </c>
      <c r="C80" s="45">
        <f>+K12</f>
        <v>0</v>
      </c>
      <c r="D80" s="16"/>
      <c r="E80" s="16"/>
      <c r="F80" s="16"/>
      <c r="G80" s="16"/>
      <c r="H80" s="16"/>
      <c r="I80" s="16"/>
      <c r="J80" s="16"/>
      <c r="K80" s="16"/>
    </row>
    <row r="81" spans="2:15" x14ac:dyDescent="0.25">
      <c r="B81" s="1" t="s">
        <v>55</v>
      </c>
      <c r="C81" s="45">
        <v>5</v>
      </c>
      <c r="D81" s="16"/>
      <c r="E81" s="16"/>
      <c r="F81" s="16"/>
      <c r="G81" s="16"/>
      <c r="H81" s="16"/>
      <c r="I81" s="16"/>
      <c r="J81" s="16"/>
      <c r="K81" s="16"/>
    </row>
    <row r="82" spans="2:15" x14ac:dyDescent="0.25">
      <c r="B82" s="1" t="s">
        <v>51</v>
      </c>
      <c r="C82" s="16"/>
      <c r="D82" s="16"/>
      <c r="E82" s="16"/>
      <c r="F82" s="16"/>
      <c r="G82" s="16"/>
      <c r="H82" s="16"/>
      <c r="I82" s="16"/>
      <c r="J82" s="16"/>
      <c r="K82" s="16"/>
      <c r="L82" s="16">
        <f>+K85</f>
        <v>0</v>
      </c>
      <c r="M82" s="16">
        <f t="shared" ref="M82:O82" si="45">+L85</f>
        <v>0</v>
      </c>
      <c r="N82" s="16">
        <f t="shared" si="45"/>
        <v>0</v>
      </c>
      <c r="O82" s="16">
        <f t="shared" si="45"/>
        <v>0</v>
      </c>
    </row>
    <row r="83" spans="2:15" x14ac:dyDescent="0.25">
      <c r="B83" s="1" t="s">
        <v>52</v>
      </c>
      <c r="C83" s="16"/>
      <c r="D83" s="16"/>
      <c r="E83" s="16"/>
      <c r="F83" s="16"/>
      <c r="G83" s="16"/>
      <c r="H83" s="16"/>
      <c r="I83" s="16"/>
      <c r="J83" s="16"/>
      <c r="K83" s="16">
        <f>+C80</f>
        <v>0</v>
      </c>
      <c r="L83" s="16">
        <v>0</v>
      </c>
      <c r="M83" s="16">
        <v>0</v>
      </c>
      <c r="N83" s="16">
        <v>0</v>
      </c>
      <c r="O83" s="16">
        <v>0</v>
      </c>
    </row>
    <row r="84" spans="2:15" x14ac:dyDescent="0.25">
      <c r="B84" s="1" t="s">
        <v>53</v>
      </c>
      <c r="C84" s="16"/>
      <c r="D84" s="16"/>
      <c r="E84" s="16"/>
      <c r="F84" s="16"/>
      <c r="G84" s="16"/>
      <c r="H84" s="16"/>
      <c r="I84" s="16"/>
      <c r="J84" s="16"/>
      <c r="K84" s="16">
        <f>-$C$80/$C$81</f>
        <v>0</v>
      </c>
      <c r="L84" s="16">
        <f t="shared" ref="L84:O84" si="46">-$C$80/$C$81</f>
        <v>0</v>
      </c>
      <c r="M84" s="16">
        <f t="shared" si="46"/>
        <v>0</v>
      </c>
      <c r="N84" s="16">
        <f t="shared" si="46"/>
        <v>0</v>
      </c>
      <c r="O84" s="16">
        <f t="shared" si="46"/>
        <v>0</v>
      </c>
    </row>
    <row r="85" spans="2:15" x14ac:dyDescent="0.25">
      <c r="B85" s="12" t="s">
        <v>56</v>
      </c>
      <c r="C85" s="18"/>
      <c r="D85" s="18"/>
      <c r="E85" s="18"/>
      <c r="F85" s="18"/>
      <c r="G85" s="18"/>
      <c r="H85" s="18"/>
      <c r="I85" s="18"/>
      <c r="J85" s="18"/>
      <c r="K85" s="18">
        <f t="shared" ref="K85:O85" si="47">+K82+K84+K83</f>
        <v>0</v>
      </c>
      <c r="L85" s="18">
        <f t="shared" si="47"/>
        <v>0</v>
      </c>
      <c r="M85" s="18">
        <f t="shared" si="47"/>
        <v>0</v>
      </c>
      <c r="N85" s="18">
        <f t="shared" si="47"/>
        <v>0</v>
      </c>
      <c r="O85" s="18">
        <f t="shared" si="47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114FD-AC18-487F-9585-174D3445C26C}">
  <dimension ref="B2:K49"/>
  <sheetViews>
    <sheetView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I17" sqref="I17:K23"/>
    </sheetView>
  </sheetViews>
  <sheetFormatPr defaultRowHeight="15" x14ac:dyDescent="0.25"/>
  <cols>
    <col min="1" max="1" width="4" style="1" customWidth="1"/>
    <col min="2" max="2" width="20.85546875" style="1" bestFit="1" customWidth="1"/>
    <col min="3" max="16384" width="9.140625" style="1"/>
  </cols>
  <sheetData>
    <row r="2" spans="2:11" x14ac:dyDescent="0.25">
      <c r="B2" s="2" t="s">
        <v>71</v>
      </c>
      <c r="C2" s="3"/>
      <c r="D2" s="3">
        <v>2017</v>
      </c>
      <c r="E2" s="3">
        <f t="shared" ref="E2:K2" si="0">+D2+1</f>
        <v>2018</v>
      </c>
      <c r="F2" s="3">
        <f t="shared" si="0"/>
        <v>2019</v>
      </c>
      <c r="G2" s="4">
        <f t="shared" si="0"/>
        <v>2020</v>
      </c>
      <c r="H2" s="4">
        <f t="shared" si="0"/>
        <v>2021</v>
      </c>
      <c r="I2" s="4">
        <f t="shared" si="0"/>
        <v>2022</v>
      </c>
      <c r="J2" s="4">
        <f t="shared" si="0"/>
        <v>2023</v>
      </c>
      <c r="K2" s="4">
        <f t="shared" si="0"/>
        <v>2024</v>
      </c>
    </row>
    <row r="3" spans="2:11" x14ac:dyDescent="0.25">
      <c r="B3" s="2"/>
      <c r="C3" s="3"/>
      <c r="D3" s="3"/>
      <c r="E3" s="3"/>
      <c r="F3" s="3"/>
      <c r="G3" s="4"/>
      <c r="H3" s="4"/>
      <c r="I3" s="4"/>
      <c r="J3" s="4"/>
      <c r="K3" s="4"/>
    </row>
    <row r="4" spans="2:11" x14ac:dyDescent="0.25">
      <c r="B4" s="2" t="s">
        <v>128</v>
      </c>
      <c r="C4" s="3"/>
      <c r="D4" s="3"/>
      <c r="E4" s="3"/>
      <c r="F4" s="3"/>
      <c r="G4" s="4"/>
      <c r="H4" s="4"/>
      <c r="I4" s="4"/>
      <c r="J4" s="4"/>
      <c r="K4" s="4"/>
    </row>
    <row r="5" spans="2:11" x14ac:dyDescent="0.25">
      <c r="B5" s="1" t="s">
        <v>72</v>
      </c>
      <c r="C5" s="13"/>
      <c r="D5" s="16">
        <f t="shared" ref="D5:G10" si="1">+D18+D31</f>
        <v>0</v>
      </c>
      <c r="E5" s="16">
        <f t="shared" si="1"/>
        <v>74.034323961192939</v>
      </c>
      <c r="F5" s="16">
        <f t="shared" si="1"/>
        <v>57.110707360057447</v>
      </c>
      <c r="G5" s="16">
        <f t="shared" si="1"/>
        <v>39.171673762853828</v>
      </c>
      <c r="H5" s="16">
        <f t="shared" ref="H5:H10" si="2">+H18+H31+H44</f>
        <v>20.156298149817992</v>
      </c>
      <c r="I5" s="16">
        <f t="shared" ref="I5:K5" si="3">+I18+I31+I44</f>
        <v>0</v>
      </c>
      <c r="J5" s="16">
        <f t="shared" si="3"/>
        <v>0</v>
      </c>
      <c r="K5" s="16">
        <f t="shared" si="3"/>
        <v>0</v>
      </c>
    </row>
    <row r="6" spans="2:11" x14ac:dyDescent="0.25">
      <c r="B6" s="1" t="s">
        <v>64</v>
      </c>
      <c r="C6" s="16"/>
      <c r="D6" s="16">
        <f t="shared" si="1"/>
        <v>90</v>
      </c>
      <c r="E6" s="16">
        <f t="shared" si="1"/>
        <v>0</v>
      </c>
      <c r="F6" s="16">
        <f t="shared" si="1"/>
        <v>0</v>
      </c>
      <c r="G6" s="16">
        <f t="shared" si="1"/>
        <v>0</v>
      </c>
      <c r="H6" s="16">
        <f t="shared" si="2"/>
        <v>0</v>
      </c>
      <c r="I6" s="16">
        <f t="shared" ref="I6:K10" si="4">+I19+I32+I45</f>
        <v>0</v>
      </c>
      <c r="J6" s="16">
        <f t="shared" si="4"/>
        <v>0</v>
      </c>
      <c r="K6" s="16">
        <f t="shared" si="4"/>
        <v>0</v>
      </c>
    </row>
    <row r="7" spans="2:11" x14ac:dyDescent="0.25">
      <c r="B7" s="1" t="s">
        <v>73</v>
      </c>
      <c r="C7" s="16"/>
      <c r="D7" s="16">
        <f t="shared" si="1"/>
        <v>-21.365676038807067</v>
      </c>
      <c r="E7" s="16">
        <f t="shared" si="1"/>
        <v>-21.365676038807067</v>
      </c>
      <c r="F7" s="16">
        <f t="shared" si="1"/>
        <v>-21.365676038807067</v>
      </c>
      <c r="G7" s="16">
        <f t="shared" si="1"/>
        <v>-21.365676038807067</v>
      </c>
      <c r="H7" s="16">
        <f t="shared" si="2"/>
        <v>-21.365676038807067</v>
      </c>
      <c r="I7" s="16">
        <f t="shared" si="4"/>
        <v>0</v>
      </c>
      <c r="J7" s="16">
        <f t="shared" si="4"/>
        <v>0</v>
      </c>
      <c r="K7" s="16">
        <f t="shared" si="4"/>
        <v>0</v>
      </c>
    </row>
    <row r="8" spans="2:11" x14ac:dyDescent="0.25">
      <c r="B8" s="15" t="s">
        <v>6</v>
      </c>
      <c r="C8" s="16"/>
      <c r="D8" s="16">
        <f t="shared" si="1"/>
        <v>-5.3999999999999995</v>
      </c>
      <c r="E8" s="16">
        <f t="shared" si="1"/>
        <v>-4.4420594376715759</v>
      </c>
      <c r="F8" s="16">
        <f t="shared" si="1"/>
        <v>-3.4266424416034469</v>
      </c>
      <c r="G8" s="16">
        <f t="shared" si="1"/>
        <v>-2.3503004257712297</v>
      </c>
      <c r="H8" s="16">
        <f t="shared" si="2"/>
        <v>-1.2093778889890794</v>
      </c>
      <c r="I8" s="16">
        <f t="shared" si="4"/>
        <v>0</v>
      </c>
      <c r="J8" s="16">
        <f t="shared" si="4"/>
        <v>0</v>
      </c>
      <c r="K8" s="16">
        <f t="shared" si="4"/>
        <v>0</v>
      </c>
    </row>
    <row r="9" spans="2:11" x14ac:dyDescent="0.25">
      <c r="B9" s="15" t="s">
        <v>74</v>
      </c>
      <c r="C9" s="16"/>
      <c r="D9" s="16">
        <f t="shared" si="1"/>
        <v>-15.965676038807068</v>
      </c>
      <c r="E9" s="16">
        <f t="shared" si="1"/>
        <v>-16.923616601135492</v>
      </c>
      <c r="F9" s="16">
        <f t="shared" si="1"/>
        <v>-17.939033597203618</v>
      </c>
      <c r="G9" s="16">
        <f t="shared" si="1"/>
        <v>-19.015375613035836</v>
      </c>
      <c r="H9" s="16">
        <f t="shared" si="2"/>
        <v>-20.156298149817989</v>
      </c>
      <c r="I9" s="16">
        <f t="shared" si="4"/>
        <v>0</v>
      </c>
      <c r="J9" s="16">
        <f t="shared" si="4"/>
        <v>0</v>
      </c>
      <c r="K9" s="16">
        <f t="shared" si="4"/>
        <v>0</v>
      </c>
    </row>
    <row r="10" spans="2:11" x14ac:dyDescent="0.25">
      <c r="B10" s="12" t="s">
        <v>75</v>
      </c>
      <c r="C10" s="18"/>
      <c r="D10" s="18">
        <f t="shared" si="1"/>
        <v>74.034323961192939</v>
      </c>
      <c r="E10" s="18">
        <f t="shared" si="1"/>
        <v>57.110707360057447</v>
      </c>
      <c r="F10" s="18">
        <f t="shared" si="1"/>
        <v>39.171673762853828</v>
      </c>
      <c r="G10" s="18">
        <f t="shared" si="1"/>
        <v>20.156298149817992</v>
      </c>
      <c r="H10" s="18">
        <f t="shared" si="2"/>
        <v>0</v>
      </c>
      <c r="I10" s="18">
        <f t="shared" si="4"/>
        <v>0</v>
      </c>
      <c r="J10" s="18">
        <f t="shared" si="4"/>
        <v>0</v>
      </c>
      <c r="K10" s="18">
        <f t="shared" si="4"/>
        <v>0</v>
      </c>
    </row>
    <row r="11" spans="2:11" x14ac:dyDescent="0.25">
      <c r="B11" s="2"/>
      <c r="C11" s="3"/>
      <c r="D11" s="3"/>
      <c r="E11" s="3"/>
      <c r="F11" s="3"/>
      <c r="G11" s="4"/>
      <c r="H11" s="4"/>
      <c r="I11" s="4"/>
      <c r="J11" s="4"/>
      <c r="K11" s="4"/>
    </row>
    <row r="12" spans="2:11" x14ac:dyDescent="0.25">
      <c r="B12" s="2" t="s">
        <v>127</v>
      </c>
      <c r="C12" s="13"/>
      <c r="D12" s="13"/>
      <c r="E12" s="13"/>
      <c r="F12" s="13"/>
      <c r="G12" s="13"/>
      <c r="H12" s="13"/>
      <c r="I12" s="13"/>
      <c r="J12" s="13"/>
      <c r="K12" s="13"/>
    </row>
    <row r="13" spans="2:11" x14ac:dyDescent="0.25">
      <c r="B13" s="1" t="s">
        <v>76</v>
      </c>
      <c r="C13" s="52">
        <v>90</v>
      </c>
      <c r="D13" s="13"/>
      <c r="E13" s="13"/>
      <c r="F13" s="13"/>
      <c r="G13" s="13"/>
      <c r="H13" s="13"/>
      <c r="I13" s="13"/>
      <c r="J13" s="13"/>
      <c r="K13" s="13"/>
    </row>
    <row r="14" spans="2:11" x14ac:dyDescent="0.25">
      <c r="B14" s="1" t="s">
        <v>77</v>
      </c>
      <c r="C14" s="52">
        <v>5</v>
      </c>
      <c r="D14" s="13"/>
      <c r="E14" s="13"/>
      <c r="F14" s="13"/>
      <c r="G14" s="13"/>
      <c r="H14" s="13"/>
      <c r="I14" s="13"/>
      <c r="J14" s="13"/>
      <c r="K14" s="13"/>
    </row>
    <row r="15" spans="2:11" x14ac:dyDescent="0.25">
      <c r="B15" s="1" t="s">
        <v>78</v>
      </c>
      <c r="C15" s="46">
        <v>0.06</v>
      </c>
      <c r="D15" s="13"/>
      <c r="E15" s="13"/>
      <c r="F15" s="13"/>
      <c r="G15" s="13"/>
      <c r="H15" s="13"/>
      <c r="I15" s="13"/>
      <c r="J15" s="13"/>
      <c r="K15" s="13"/>
    </row>
    <row r="16" spans="2:11" x14ac:dyDescent="0.25">
      <c r="C16" s="7"/>
      <c r="D16" s="13"/>
      <c r="E16" s="13"/>
      <c r="F16" s="13"/>
      <c r="G16" s="13"/>
      <c r="H16" s="13"/>
      <c r="I16" s="13"/>
      <c r="J16" s="13"/>
      <c r="K16" s="13"/>
    </row>
    <row r="17" spans="2:11" x14ac:dyDescent="0.25">
      <c r="B17" s="1" t="s">
        <v>154</v>
      </c>
      <c r="C17" s="7"/>
      <c r="D17" s="13">
        <v>1</v>
      </c>
      <c r="E17" s="13">
        <f>+D17+1</f>
        <v>2</v>
      </c>
      <c r="F17" s="13">
        <f t="shared" ref="F17:H17" si="5">+E17+1</f>
        <v>3</v>
      </c>
      <c r="G17" s="13">
        <f t="shared" si="5"/>
        <v>4</v>
      </c>
      <c r="H17" s="13">
        <f t="shared" si="5"/>
        <v>5</v>
      </c>
      <c r="I17" s="13"/>
      <c r="J17" s="13"/>
      <c r="K17" s="13"/>
    </row>
    <row r="18" spans="2:11" x14ac:dyDescent="0.25">
      <c r="B18" s="1" t="s">
        <v>72</v>
      </c>
      <c r="C18" s="13"/>
      <c r="D18" s="16">
        <v>0</v>
      </c>
      <c r="E18" s="16">
        <f>+D23</f>
        <v>74.034323961192939</v>
      </c>
      <c r="F18" s="16">
        <f>+E23</f>
        <v>57.110707360057447</v>
      </c>
      <c r="G18" s="16">
        <f>+F23</f>
        <v>39.171673762853828</v>
      </c>
      <c r="H18" s="16">
        <f>+G23</f>
        <v>20.156298149817992</v>
      </c>
      <c r="I18" s="16"/>
      <c r="J18" s="16"/>
      <c r="K18" s="16"/>
    </row>
    <row r="19" spans="2:11" x14ac:dyDescent="0.25">
      <c r="B19" s="1" t="s">
        <v>64</v>
      </c>
      <c r="C19" s="16"/>
      <c r="D19" s="16">
        <f>+C13</f>
        <v>90</v>
      </c>
      <c r="E19" s="16">
        <v>0</v>
      </c>
      <c r="F19" s="16">
        <v>0</v>
      </c>
      <c r="G19" s="16">
        <v>0</v>
      </c>
      <c r="H19" s="16">
        <v>0</v>
      </c>
      <c r="I19" s="16"/>
      <c r="J19" s="16"/>
      <c r="K19" s="16"/>
    </row>
    <row r="20" spans="2:11" x14ac:dyDescent="0.25">
      <c r="B20" s="1" t="s">
        <v>73</v>
      </c>
      <c r="C20" s="16"/>
      <c r="D20" s="16">
        <f>-PMT($C$15,$C$14,-$C$13,)</f>
        <v>-21.365676038807067</v>
      </c>
      <c r="E20" s="16">
        <f>-PMT($C$15,$C$14,-$C$13,)</f>
        <v>-21.365676038807067</v>
      </c>
      <c r="F20" s="16">
        <f>-PMT($C$15,$C$14,-$C$13,)</f>
        <v>-21.365676038807067</v>
      </c>
      <c r="G20" s="16">
        <f>-PMT($C$15,$C$14,-$C$13,)</f>
        <v>-21.365676038807067</v>
      </c>
      <c r="H20" s="16">
        <f>-PMT($C$15,$C$14,-$C$13,)</f>
        <v>-21.365676038807067</v>
      </c>
      <c r="I20" s="16"/>
      <c r="J20" s="16"/>
      <c r="K20" s="16"/>
    </row>
    <row r="21" spans="2:11" x14ac:dyDescent="0.25">
      <c r="B21" s="15" t="s">
        <v>6</v>
      </c>
      <c r="C21" s="16"/>
      <c r="D21" s="16">
        <f>-$C$15*C13</f>
        <v>-5.3999999999999995</v>
      </c>
      <c r="E21" s="16">
        <f>-$C$15*D23</f>
        <v>-4.4420594376715759</v>
      </c>
      <c r="F21" s="16">
        <f>-$C$15*E23</f>
        <v>-3.4266424416034469</v>
      </c>
      <c r="G21" s="16">
        <f>-$C$15*F23</f>
        <v>-2.3503004257712297</v>
      </c>
      <c r="H21" s="16">
        <f>-$C$15*G23</f>
        <v>-1.2093778889890794</v>
      </c>
      <c r="I21" s="16"/>
      <c r="J21" s="16"/>
      <c r="K21" s="16"/>
    </row>
    <row r="22" spans="2:11" x14ac:dyDescent="0.25">
      <c r="B22" s="15" t="s">
        <v>74</v>
      </c>
      <c r="C22" s="16"/>
      <c r="D22" s="16">
        <f>+D20-D21</f>
        <v>-15.965676038807068</v>
      </c>
      <c r="E22" s="16">
        <f>+E20-E21</f>
        <v>-16.923616601135492</v>
      </c>
      <c r="F22" s="16">
        <f>+F20-F21</f>
        <v>-17.939033597203618</v>
      </c>
      <c r="G22" s="16">
        <f>+G20-G21</f>
        <v>-19.015375613035836</v>
      </c>
      <c r="H22" s="16">
        <f>+H20-H21</f>
        <v>-20.156298149817989</v>
      </c>
      <c r="I22" s="16"/>
      <c r="J22" s="16"/>
      <c r="K22" s="16"/>
    </row>
    <row r="23" spans="2:11" x14ac:dyDescent="0.25">
      <c r="B23" s="12" t="s">
        <v>75</v>
      </c>
      <c r="C23" s="18"/>
      <c r="D23" s="18">
        <f>+D18+D19+D22</f>
        <v>74.034323961192939</v>
      </c>
      <c r="E23" s="18">
        <f t="shared" ref="E23:H23" si="6">+E18+E19+E22</f>
        <v>57.110707360057447</v>
      </c>
      <c r="F23" s="18">
        <f t="shared" si="6"/>
        <v>39.171673762853828</v>
      </c>
      <c r="G23" s="18">
        <f t="shared" si="6"/>
        <v>20.156298149817992</v>
      </c>
      <c r="H23" s="18">
        <f t="shared" si="6"/>
        <v>0</v>
      </c>
      <c r="I23" s="18"/>
      <c r="J23" s="18"/>
      <c r="K23" s="18"/>
    </row>
    <row r="25" spans="2:11" x14ac:dyDescent="0.25">
      <c r="B25" s="2" t="s">
        <v>164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25">
      <c r="B26" s="1" t="s">
        <v>76</v>
      </c>
      <c r="C26" s="52"/>
      <c r="D26" s="13"/>
      <c r="E26" s="13"/>
      <c r="F26" s="13"/>
      <c r="G26" s="13"/>
      <c r="H26" s="13"/>
      <c r="I26" s="13"/>
      <c r="J26" s="13"/>
      <c r="K26" s="13"/>
    </row>
    <row r="27" spans="2:11" x14ac:dyDescent="0.25">
      <c r="B27" s="1" t="s">
        <v>77</v>
      </c>
      <c r="C27" s="52">
        <v>5</v>
      </c>
      <c r="D27" s="13"/>
      <c r="E27" s="13"/>
      <c r="F27" s="13"/>
      <c r="G27" s="13"/>
      <c r="H27" s="13"/>
      <c r="I27" s="13"/>
      <c r="J27" s="13"/>
      <c r="K27" s="13"/>
    </row>
    <row r="28" spans="2:11" x14ac:dyDescent="0.25">
      <c r="B28" s="1" t="s">
        <v>78</v>
      </c>
      <c r="C28" s="46"/>
      <c r="D28" s="13"/>
      <c r="E28" s="13"/>
      <c r="F28" s="13"/>
      <c r="G28" s="13"/>
      <c r="H28" s="13"/>
      <c r="I28" s="13"/>
      <c r="J28" s="13"/>
      <c r="K28" s="13"/>
    </row>
    <row r="29" spans="2:11" x14ac:dyDescent="0.25">
      <c r="C29" s="7"/>
      <c r="D29" s="13"/>
      <c r="E29" s="13"/>
      <c r="F29" s="13"/>
      <c r="G29" s="13"/>
      <c r="H29" s="13"/>
      <c r="I29" s="13"/>
      <c r="J29" s="13"/>
      <c r="K29" s="13"/>
    </row>
    <row r="30" spans="2:11" x14ac:dyDescent="0.25">
      <c r="B30" s="1" t="s">
        <v>154</v>
      </c>
      <c r="C30" s="7"/>
      <c r="D30" s="13"/>
      <c r="E30" s="13"/>
      <c r="F30" s="13"/>
      <c r="G30" s="13">
        <v>1</v>
      </c>
      <c r="H30" s="13">
        <f>+G30+1</f>
        <v>2</v>
      </c>
      <c r="I30" s="13">
        <f>+H30+1</f>
        <v>3</v>
      </c>
      <c r="J30" s="13">
        <f t="shared" ref="J30:K30" si="7">+I30+1</f>
        <v>4</v>
      </c>
      <c r="K30" s="13">
        <f t="shared" si="7"/>
        <v>5</v>
      </c>
    </row>
    <row r="31" spans="2:11" x14ac:dyDescent="0.25">
      <c r="B31" s="1" t="s">
        <v>72</v>
      </c>
      <c r="C31" s="13"/>
      <c r="D31" s="16"/>
      <c r="E31" s="16"/>
      <c r="F31" s="16"/>
      <c r="G31" s="16">
        <f>+F36</f>
        <v>0</v>
      </c>
      <c r="H31" s="16">
        <f>+G36</f>
        <v>0</v>
      </c>
      <c r="I31" s="16">
        <f t="shared" ref="I31:K31" si="8">+H36</f>
        <v>0</v>
      </c>
      <c r="J31" s="16">
        <f t="shared" si="8"/>
        <v>0</v>
      </c>
      <c r="K31" s="16">
        <f t="shared" si="8"/>
        <v>0</v>
      </c>
    </row>
    <row r="32" spans="2:11" x14ac:dyDescent="0.25">
      <c r="B32" s="1" t="s">
        <v>64</v>
      </c>
      <c r="C32" s="16"/>
      <c r="D32" s="16"/>
      <c r="E32" s="16"/>
      <c r="F32" s="16"/>
      <c r="G32" s="16">
        <f>+C26</f>
        <v>0</v>
      </c>
      <c r="H32" s="16">
        <v>0</v>
      </c>
      <c r="I32" s="16">
        <v>0</v>
      </c>
      <c r="J32" s="16">
        <v>0</v>
      </c>
      <c r="K32" s="16">
        <v>0</v>
      </c>
    </row>
    <row r="33" spans="2:11" x14ac:dyDescent="0.25">
      <c r="B33" s="1" t="s">
        <v>73</v>
      </c>
      <c r="C33" s="16"/>
      <c r="D33" s="16"/>
      <c r="E33" s="16"/>
      <c r="F33" s="16"/>
      <c r="G33" s="16">
        <f>-PMT($C$28,$C$27,-$C$26,)</f>
        <v>0</v>
      </c>
      <c r="H33" s="16">
        <f>-PMT($C$28,$C$27,-$C$26,)</f>
        <v>0</v>
      </c>
      <c r="I33" s="16">
        <f>-PMT($C$28,$C$27,-$C$26,)</f>
        <v>0</v>
      </c>
      <c r="J33" s="16">
        <f>-PMT($C$28,$C$27,-$C$26,)</f>
        <v>0</v>
      </c>
      <c r="K33" s="16">
        <f>-PMT($C$28,$C$27,-$C$26,)</f>
        <v>0</v>
      </c>
    </row>
    <row r="34" spans="2:11" x14ac:dyDescent="0.25">
      <c r="B34" s="15" t="s">
        <v>6</v>
      </c>
      <c r="C34" s="16"/>
      <c r="D34" s="16"/>
      <c r="E34" s="16"/>
      <c r="F34" s="16"/>
      <c r="G34" s="16">
        <f>-$C$28*C26</f>
        <v>0</v>
      </c>
      <c r="H34" s="16">
        <f>-$C$28*G36</f>
        <v>0</v>
      </c>
      <c r="I34" s="16">
        <f>-$C$28*H36</f>
        <v>0</v>
      </c>
      <c r="J34" s="16">
        <f t="shared" ref="J34:K34" si="9">-$C$28*I36</f>
        <v>0</v>
      </c>
      <c r="K34" s="16">
        <f t="shared" si="9"/>
        <v>0</v>
      </c>
    </row>
    <row r="35" spans="2:11" x14ac:dyDescent="0.25">
      <c r="B35" s="15" t="s">
        <v>74</v>
      </c>
      <c r="C35" s="16"/>
      <c r="D35" s="16"/>
      <c r="E35" s="16"/>
      <c r="F35" s="16"/>
      <c r="G35" s="16">
        <f>+G33-G34</f>
        <v>0</v>
      </c>
      <c r="H35" s="16">
        <f>+H33-H34</f>
        <v>0</v>
      </c>
      <c r="I35" s="16">
        <f t="shared" ref="I35:K35" si="10">+I33-I34</f>
        <v>0</v>
      </c>
      <c r="J35" s="16">
        <f t="shared" si="10"/>
        <v>0</v>
      </c>
      <c r="K35" s="16">
        <f t="shared" si="10"/>
        <v>0</v>
      </c>
    </row>
    <row r="36" spans="2:11" x14ac:dyDescent="0.25">
      <c r="B36" s="12" t="s">
        <v>75</v>
      </c>
      <c r="C36" s="18"/>
      <c r="D36" s="18"/>
      <c r="E36" s="18"/>
      <c r="F36" s="18"/>
      <c r="G36" s="18">
        <f t="shared" ref="G36:H36" si="11">+G31+G32+G35</f>
        <v>0</v>
      </c>
      <c r="H36" s="18">
        <f t="shared" si="11"/>
        <v>0</v>
      </c>
      <c r="I36" s="18">
        <f t="shared" ref="I36" si="12">+I31+I32+I35</f>
        <v>0</v>
      </c>
      <c r="J36" s="18">
        <f t="shared" ref="J36" si="13">+J31+J32+J35</f>
        <v>0</v>
      </c>
      <c r="K36" s="18">
        <f t="shared" ref="K36" si="14">+K31+K32+K35</f>
        <v>0</v>
      </c>
    </row>
    <row r="38" spans="2:11" x14ac:dyDescent="0.25">
      <c r="B38" s="2" t="s">
        <v>155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25">
      <c r="B39" s="1" t="s">
        <v>76</v>
      </c>
      <c r="C39" s="52"/>
      <c r="D39" s="13"/>
      <c r="E39" s="13"/>
      <c r="F39" s="13"/>
      <c r="G39" s="13"/>
      <c r="H39" s="13"/>
      <c r="I39" s="13"/>
      <c r="J39" s="13"/>
      <c r="K39" s="13"/>
    </row>
    <row r="40" spans="2:11" x14ac:dyDescent="0.25">
      <c r="B40" s="1" t="s">
        <v>77</v>
      </c>
      <c r="C40" s="52">
        <v>5</v>
      </c>
      <c r="D40" s="13"/>
      <c r="E40" s="13"/>
      <c r="F40" s="13"/>
      <c r="G40" s="13"/>
      <c r="H40" s="13"/>
      <c r="I40" s="13"/>
      <c r="J40" s="13"/>
      <c r="K40" s="13"/>
    </row>
    <row r="41" spans="2:11" x14ac:dyDescent="0.25">
      <c r="B41" s="1" t="s">
        <v>78</v>
      </c>
      <c r="C41" s="46"/>
      <c r="D41" s="13"/>
      <c r="E41" s="13"/>
      <c r="F41" s="13"/>
      <c r="G41" s="13"/>
      <c r="H41" s="13"/>
      <c r="I41" s="13"/>
      <c r="J41" s="13"/>
      <c r="K41" s="13"/>
    </row>
    <row r="42" spans="2:11" x14ac:dyDescent="0.25">
      <c r="C42" s="7"/>
      <c r="D42" s="13"/>
      <c r="E42" s="13"/>
      <c r="F42" s="13"/>
      <c r="G42" s="13"/>
      <c r="H42" s="13"/>
      <c r="I42" s="13"/>
      <c r="J42" s="13"/>
      <c r="K42" s="13"/>
    </row>
    <row r="43" spans="2:11" x14ac:dyDescent="0.25">
      <c r="B43" s="1" t="s">
        <v>154</v>
      </c>
      <c r="C43" s="7"/>
      <c r="D43" s="13"/>
      <c r="E43" s="13"/>
      <c r="F43" s="13"/>
      <c r="G43" s="13"/>
      <c r="H43" s="13">
        <v>1</v>
      </c>
      <c r="I43" s="13">
        <f>+H43+1</f>
        <v>2</v>
      </c>
      <c r="J43" s="13">
        <f t="shared" ref="J43:K43" si="15">+I43+1</f>
        <v>3</v>
      </c>
      <c r="K43" s="13">
        <f t="shared" si="15"/>
        <v>4</v>
      </c>
    </row>
    <row r="44" spans="2:11" x14ac:dyDescent="0.25">
      <c r="B44" s="1" t="s">
        <v>72</v>
      </c>
      <c r="C44" s="13"/>
      <c r="D44" s="16"/>
      <c r="E44" s="16"/>
      <c r="F44" s="16"/>
      <c r="G44" s="16"/>
      <c r="H44" s="16">
        <f>+G49</f>
        <v>0</v>
      </c>
      <c r="I44" s="16">
        <f t="shared" ref="I44" si="16">+H49</f>
        <v>0</v>
      </c>
      <c r="J44" s="16">
        <f t="shared" ref="J44" si="17">+I49</f>
        <v>0</v>
      </c>
      <c r="K44" s="16">
        <f t="shared" ref="K44" si="18">+J49</f>
        <v>0</v>
      </c>
    </row>
    <row r="45" spans="2:11" x14ac:dyDescent="0.25">
      <c r="B45" s="1" t="s">
        <v>64</v>
      </c>
      <c r="C45" s="16"/>
      <c r="D45" s="16"/>
      <c r="E45" s="16"/>
      <c r="F45" s="16"/>
      <c r="G45" s="16"/>
      <c r="H45" s="16">
        <f>+C39</f>
        <v>0</v>
      </c>
      <c r="I45" s="16">
        <v>0</v>
      </c>
      <c r="J45" s="16">
        <v>0</v>
      </c>
      <c r="K45" s="16">
        <v>0</v>
      </c>
    </row>
    <row r="46" spans="2:11" x14ac:dyDescent="0.25">
      <c r="B46" s="1" t="s">
        <v>73</v>
      </c>
      <c r="C46" s="16"/>
      <c r="D46" s="16"/>
      <c r="E46" s="16"/>
      <c r="F46" s="16"/>
      <c r="G46" s="16"/>
      <c r="H46" s="81"/>
      <c r="I46" s="81"/>
      <c r="J46" s="81"/>
      <c r="K46" s="81"/>
    </row>
    <row r="47" spans="2:11" x14ac:dyDescent="0.25">
      <c r="B47" s="15" t="s">
        <v>6</v>
      </c>
      <c r="C47" s="16"/>
      <c r="D47" s="16"/>
      <c r="E47" s="16"/>
      <c r="F47" s="16"/>
      <c r="G47" s="16"/>
      <c r="H47" s="16">
        <f>IF($C$40&lt;H43,0,-$C$41*$C$39)</f>
        <v>0</v>
      </c>
      <c r="I47" s="16">
        <f t="shared" ref="I47:K47" si="19">IF($C$40&lt;I43,0,-$C$41*$C$39)</f>
        <v>0</v>
      </c>
      <c r="J47" s="16">
        <f t="shared" si="19"/>
        <v>0</v>
      </c>
      <c r="K47" s="16">
        <f t="shared" si="19"/>
        <v>0</v>
      </c>
    </row>
    <row r="48" spans="2:11" x14ac:dyDescent="0.25">
      <c r="B48" s="15" t="s">
        <v>74</v>
      </c>
      <c r="C48" s="16"/>
      <c r="D48" s="16"/>
      <c r="E48" s="16"/>
      <c r="F48" s="16"/>
      <c r="G48" s="16"/>
      <c r="H48" s="16">
        <f>IF($C$40=H43,-$C$39,0)</f>
        <v>0</v>
      </c>
      <c r="I48" s="16">
        <f t="shared" ref="I48:K48" si="20">IF($C$40=I43,-$C$39,0)</f>
        <v>0</v>
      </c>
      <c r="J48" s="16">
        <f t="shared" si="20"/>
        <v>0</v>
      </c>
      <c r="K48" s="16">
        <f t="shared" si="20"/>
        <v>0</v>
      </c>
    </row>
    <row r="49" spans="2:11" x14ac:dyDescent="0.25">
      <c r="B49" s="12" t="s">
        <v>75</v>
      </c>
      <c r="C49" s="18"/>
      <c r="D49" s="18"/>
      <c r="E49" s="18"/>
      <c r="F49" s="18"/>
      <c r="G49" s="18"/>
      <c r="H49" s="18">
        <f>+H44+H45+H48</f>
        <v>0</v>
      </c>
      <c r="I49" s="18">
        <f>+I44+I45+I48</f>
        <v>0</v>
      </c>
      <c r="J49" s="18">
        <f>+J44+J45+J48</f>
        <v>0</v>
      </c>
      <c r="K49" s="18">
        <f>+K44+K45+K48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113F-E726-422C-AC42-280F27724214}">
  <dimension ref="A2:M58"/>
  <sheetViews>
    <sheetView tabSelected="1" workbookViewId="0">
      <selection activeCell="E28" sqref="E28"/>
    </sheetView>
  </sheetViews>
  <sheetFormatPr defaultRowHeight="15" x14ac:dyDescent="0.25"/>
  <cols>
    <col min="1" max="1" width="5.140625" style="1" customWidth="1"/>
    <col min="2" max="2" width="20.5703125" style="1" bestFit="1" customWidth="1"/>
    <col min="3" max="3" width="9.140625" style="1"/>
    <col min="4" max="5" width="9.140625" style="1" customWidth="1"/>
    <col min="6" max="7" width="1.85546875" style="1" customWidth="1"/>
    <col min="8" max="9" width="9.140625" style="1" customWidth="1"/>
    <col min="10" max="16384" width="9.140625" style="1"/>
  </cols>
  <sheetData>
    <row r="2" spans="1:13" s="21" customFormat="1" x14ac:dyDescent="0.25">
      <c r="B2" s="21" t="s">
        <v>154</v>
      </c>
      <c r="D2" s="16"/>
      <c r="E2" s="16"/>
      <c r="F2" s="16"/>
      <c r="G2" s="16"/>
      <c r="H2" s="16"/>
      <c r="I2" s="1">
        <v>1</v>
      </c>
      <c r="J2" s="1">
        <f t="shared" ref="J2:M3" si="0">+I2+1</f>
        <v>2</v>
      </c>
      <c r="K2" s="1">
        <f t="shared" si="0"/>
        <v>3</v>
      </c>
      <c r="L2" s="1">
        <f t="shared" si="0"/>
        <v>4</v>
      </c>
      <c r="M2" s="1">
        <f t="shared" si="0"/>
        <v>5</v>
      </c>
    </row>
    <row r="3" spans="1:13" s="21" customFormat="1" x14ac:dyDescent="0.25">
      <c r="D3" s="16"/>
      <c r="E3" s="16"/>
      <c r="F3" s="16"/>
      <c r="G3" s="16"/>
      <c r="H3" s="16"/>
      <c r="I3" s="4">
        <v>2020</v>
      </c>
      <c r="J3" s="4">
        <f t="shared" si="0"/>
        <v>2021</v>
      </c>
      <c r="K3" s="4">
        <f t="shared" si="0"/>
        <v>2022</v>
      </c>
      <c r="L3" s="4">
        <f t="shared" si="0"/>
        <v>2023</v>
      </c>
      <c r="M3" s="4">
        <f t="shared" si="0"/>
        <v>2024</v>
      </c>
    </row>
    <row r="4" spans="1:13" s="21" customFormat="1" x14ac:dyDescent="0.25">
      <c r="A4" s="74">
        <v>1</v>
      </c>
      <c r="B4" s="74" t="s">
        <v>103</v>
      </c>
      <c r="C4" s="74"/>
      <c r="D4" s="80"/>
      <c r="E4" s="80"/>
      <c r="F4" s="80"/>
      <c r="G4" s="80"/>
      <c r="H4" s="80"/>
      <c r="I4" s="76"/>
      <c r="J4" s="76"/>
      <c r="K4" s="76"/>
      <c r="L4" s="76"/>
      <c r="M4" s="76"/>
    </row>
    <row r="5" spans="1:13" x14ac:dyDescent="0.25">
      <c r="B5" s="1" t="s">
        <v>3</v>
      </c>
      <c r="C5" s="16"/>
      <c r="D5" s="16"/>
      <c r="E5" s="16"/>
      <c r="F5" s="16"/>
      <c r="G5" s="16"/>
      <c r="H5" s="16"/>
      <c r="I5" s="16">
        <f>+FS!G10</f>
        <v>-224.92470000000003</v>
      </c>
      <c r="J5" s="16">
        <f>+FS!H10</f>
        <v>-224.92470000000003</v>
      </c>
      <c r="K5" s="16">
        <f>+FS!I10</f>
        <v>-224.92470000000003</v>
      </c>
      <c r="L5" s="16">
        <f>+FS!J10</f>
        <v>-224.92470000000003</v>
      </c>
      <c r="M5" s="16">
        <f>+FS!K10</f>
        <v>-224.92470000000003</v>
      </c>
    </row>
    <row r="6" spans="1:13" x14ac:dyDescent="0.25">
      <c r="B6" s="1" t="s">
        <v>101</v>
      </c>
      <c r="I6" s="7">
        <f>+Assumptions!G25</f>
        <v>0</v>
      </c>
      <c r="J6" s="7">
        <f>+Assumptions!H25</f>
        <v>0</v>
      </c>
      <c r="K6" s="7">
        <f>+Assumptions!I25</f>
        <v>0</v>
      </c>
      <c r="L6" s="7">
        <f>+Assumptions!J25</f>
        <v>0</v>
      </c>
      <c r="M6" s="7">
        <f>+Assumptions!K25</f>
        <v>0</v>
      </c>
    </row>
    <row r="7" spans="1:13" x14ac:dyDescent="0.25">
      <c r="B7" s="6" t="s">
        <v>102</v>
      </c>
      <c r="C7" s="6"/>
      <c r="D7" s="17"/>
      <c r="E7" s="17"/>
      <c r="F7" s="17"/>
      <c r="G7" s="17"/>
      <c r="H7" s="17"/>
      <c r="I7" s="17">
        <f>+I5*(1-I6)</f>
        <v>-224.92470000000003</v>
      </c>
      <c r="J7" s="17">
        <f t="shared" ref="J7:M7" si="1">+J5*(1-J6)</f>
        <v>-224.92470000000003</v>
      </c>
      <c r="K7" s="17">
        <f t="shared" si="1"/>
        <v>-224.92470000000003</v>
      </c>
      <c r="L7" s="17">
        <f t="shared" si="1"/>
        <v>-224.92470000000003</v>
      </c>
      <c r="M7" s="17">
        <f t="shared" si="1"/>
        <v>-224.92470000000003</v>
      </c>
    </row>
    <row r="8" spans="1:13" x14ac:dyDescent="0.25">
      <c r="B8" s="1" t="s">
        <v>84</v>
      </c>
      <c r="D8" s="16"/>
      <c r="E8" s="16"/>
      <c r="F8" s="16"/>
      <c r="G8" s="16"/>
      <c r="H8" s="16"/>
      <c r="I8" s="16">
        <f>+FS!G9</f>
        <v>0</v>
      </c>
      <c r="J8" s="16">
        <f>+FS!H9</f>
        <v>0</v>
      </c>
      <c r="K8" s="16">
        <f>+FS!I9</f>
        <v>0</v>
      </c>
      <c r="L8" s="16">
        <f>+FS!J9</f>
        <v>0</v>
      </c>
      <c r="M8" s="16">
        <f>+FS!K9</f>
        <v>0</v>
      </c>
    </row>
    <row r="9" spans="1:13" x14ac:dyDescent="0.25">
      <c r="B9" s="1" t="s">
        <v>100</v>
      </c>
      <c r="D9" s="16"/>
      <c r="E9" s="16"/>
      <c r="F9" s="16"/>
      <c r="G9" s="16"/>
      <c r="H9" s="16"/>
      <c r="I9" s="16" t="e">
        <f>+Assumptions!G52</f>
        <v>#DIV/0!</v>
      </c>
      <c r="J9" s="16" t="e">
        <f>+Assumptions!H52</f>
        <v>#DIV/0!</v>
      </c>
      <c r="K9" s="16" t="e">
        <f>+Assumptions!I52</f>
        <v>#DIV/0!</v>
      </c>
      <c r="L9" s="16" t="e">
        <f>+Assumptions!J52</f>
        <v>#DIV/0!</v>
      </c>
      <c r="M9" s="16" t="e">
        <f>+Assumptions!K52</f>
        <v>#DIV/0!</v>
      </c>
    </row>
    <row r="10" spans="1:13" x14ac:dyDescent="0.25">
      <c r="B10" s="1" t="s">
        <v>52</v>
      </c>
      <c r="D10" s="16"/>
      <c r="E10" s="16"/>
      <c r="F10" s="16"/>
      <c r="G10" s="16"/>
      <c r="H10" s="16"/>
      <c r="I10" s="16">
        <f>-FS!G68</f>
        <v>0</v>
      </c>
      <c r="J10" s="16">
        <f>-FS!H68</f>
        <v>0</v>
      </c>
      <c r="K10" s="16">
        <f>-FS!I68</f>
        <v>0</v>
      </c>
      <c r="L10" s="16">
        <f>-FS!J68</f>
        <v>0</v>
      </c>
      <c r="M10" s="16">
        <f>-FS!K68</f>
        <v>0</v>
      </c>
    </row>
    <row r="11" spans="1:13" x14ac:dyDescent="0.25">
      <c r="B11" s="12" t="s">
        <v>99</v>
      </c>
      <c r="C11" s="12"/>
      <c r="D11" s="12"/>
      <c r="E11" s="12"/>
      <c r="F11" s="12"/>
      <c r="G11" s="12"/>
      <c r="H11" s="12"/>
      <c r="I11" s="18" t="e">
        <f>+I7+I8+I9</f>
        <v>#DIV/0!</v>
      </c>
      <c r="J11" s="18" t="e">
        <f t="shared" ref="J11:M11" si="2">+J7+J8+J9</f>
        <v>#DIV/0!</v>
      </c>
      <c r="K11" s="18" t="e">
        <f t="shared" si="2"/>
        <v>#DIV/0!</v>
      </c>
      <c r="L11" s="18" t="e">
        <f t="shared" si="2"/>
        <v>#DIV/0!</v>
      </c>
      <c r="M11" s="18" t="e">
        <f t="shared" si="2"/>
        <v>#DIV/0!</v>
      </c>
    </row>
    <row r="12" spans="1:13" x14ac:dyDescent="0.25">
      <c r="B12" s="1" t="s">
        <v>117</v>
      </c>
      <c r="M12" s="99"/>
    </row>
    <row r="13" spans="1:13" x14ac:dyDescent="0.25">
      <c r="B13" s="1" t="s">
        <v>119</v>
      </c>
      <c r="I13" s="16" t="e">
        <f>+I11+I12</f>
        <v>#DIV/0!</v>
      </c>
      <c r="J13" s="16" t="e">
        <f t="shared" ref="J13:M13" si="3">+J11+J12</f>
        <v>#DIV/0!</v>
      </c>
      <c r="K13" s="16" t="e">
        <f t="shared" si="3"/>
        <v>#DIV/0!</v>
      </c>
      <c r="L13" s="16" t="e">
        <f t="shared" si="3"/>
        <v>#DIV/0!</v>
      </c>
      <c r="M13" s="16" t="e">
        <f t="shared" si="3"/>
        <v>#DIV/0!</v>
      </c>
    </row>
    <row r="14" spans="1:13" x14ac:dyDescent="0.25">
      <c r="B14" s="1" t="s">
        <v>116</v>
      </c>
      <c r="I14" s="43">
        <f>1/(1+I31)^I2</f>
        <v>1</v>
      </c>
      <c r="J14" s="43">
        <f>1/(1+J31)^J2</f>
        <v>1</v>
      </c>
      <c r="K14" s="43">
        <f>1/(1+K31)^K2</f>
        <v>1</v>
      </c>
      <c r="L14" s="43">
        <f>1/(1+L31)^L2</f>
        <v>1</v>
      </c>
      <c r="M14" s="43">
        <f>1/(1+M31)^M2</f>
        <v>1</v>
      </c>
    </row>
    <row r="15" spans="1:13" x14ac:dyDescent="0.25">
      <c r="B15" s="6" t="s">
        <v>120</v>
      </c>
      <c r="C15" s="6"/>
      <c r="D15" s="6"/>
      <c r="E15" s="6"/>
      <c r="F15" s="6"/>
      <c r="G15" s="6"/>
      <c r="H15" s="6"/>
      <c r="I15" s="17" t="e">
        <f>+I13*I14</f>
        <v>#DIV/0!</v>
      </c>
      <c r="J15" s="17" t="e">
        <f t="shared" ref="J15:M15" si="4">+J13*J14</f>
        <v>#DIV/0!</v>
      </c>
      <c r="K15" s="17" t="e">
        <f t="shared" si="4"/>
        <v>#DIV/0!</v>
      </c>
      <c r="L15" s="17" t="e">
        <f t="shared" si="4"/>
        <v>#DIV/0!</v>
      </c>
      <c r="M15" s="17" t="e">
        <f t="shared" si="4"/>
        <v>#DIV/0!</v>
      </c>
    </row>
    <row r="16" spans="1:13" x14ac:dyDescent="0.25">
      <c r="B16" s="22"/>
      <c r="C16" s="22"/>
      <c r="D16" s="22"/>
      <c r="E16" s="22"/>
      <c r="F16" s="22"/>
      <c r="G16" s="22"/>
      <c r="H16" s="22"/>
      <c r="I16" s="44"/>
      <c r="J16" s="44"/>
      <c r="K16" s="44"/>
      <c r="L16" s="44"/>
      <c r="M16" s="44"/>
    </row>
    <row r="17" spans="1:13" x14ac:dyDescent="0.25">
      <c r="B17" s="2" t="s">
        <v>118</v>
      </c>
      <c r="C17" s="60">
        <f>IF('Sensitivity Analysis'!C3="",D17,'Sensitivity Analysis'!C3)</f>
        <v>0</v>
      </c>
      <c r="D17" s="46"/>
      <c r="E17" s="22"/>
      <c r="F17" s="22"/>
      <c r="G17" s="22"/>
      <c r="H17" s="22"/>
      <c r="I17" s="44"/>
      <c r="J17" s="44"/>
      <c r="K17" s="44"/>
      <c r="L17" s="44"/>
      <c r="M17" s="44"/>
    </row>
    <row r="18" spans="1:13" x14ac:dyDescent="0.25">
      <c r="B18" s="21"/>
      <c r="C18" s="60"/>
      <c r="D18" s="60"/>
      <c r="E18" s="22"/>
      <c r="F18" s="22"/>
      <c r="G18" s="22"/>
      <c r="H18" s="22"/>
      <c r="I18" s="44"/>
      <c r="J18" s="44"/>
      <c r="K18" s="44"/>
      <c r="L18" s="44"/>
      <c r="M18" s="44"/>
    </row>
    <row r="19" spans="1:13" x14ac:dyDescent="0.25">
      <c r="B19" s="2" t="s">
        <v>124</v>
      </c>
      <c r="C19" s="2"/>
      <c r="D19" s="2"/>
      <c r="E19" s="2"/>
      <c r="F19" s="2"/>
      <c r="G19" s="2"/>
      <c r="H19" s="2"/>
      <c r="I19" s="88"/>
      <c r="J19" s="16"/>
      <c r="K19" s="16"/>
      <c r="L19" s="16"/>
      <c r="M19" s="16"/>
    </row>
    <row r="20" spans="1:13" x14ac:dyDescent="0.25">
      <c r="B20" s="1" t="s">
        <v>121</v>
      </c>
      <c r="I20" s="16">
        <f>+FS!F42</f>
        <v>39.171673762853828</v>
      </c>
    </row>
    <row r="21" spans="1:13" x14ac:dyDescent="0.25">
      <c r="B21" s="1" t="s">
        <v>122</v>
      </c>
      <c r="I21" s="16">
        <f>+FS!F29</f>
        <v>301.70615941771882</v>
      </c>
    </row>
    <row r="22" spans="1:13" x14ac:dyDescent="0.25">
      <c r="B22" s="12" t="s">
        <v>123</v>
      </c>
      <c r="C22" s="12"/>
      <c r="D22" s="12"/>
      <c r="E22" s="12"/>
      <c r="F22" s="12"/>
      <c r="G22" s="12"/>
      <c r="H22" s="12"/>
      <c r="I22" s="18">
        <f>+I19-(I20-I21)</f>
        <v>262.53448565486497</v>
      </c>
    </row>
    <row r="23" spans="1:13" x14ac:dyDescent="0.25">
      <c r="B23" s="1" t="s">
        <v>125</v>
      </c>
      <c r="I23" s="19">
        <v>300</v>
      </c>
    </row>
    <row r="24" spans="1:13" x14ac:dyDescent="0.25">
      <c r="B24" s="12" t="s">
        <v>126</v>
      </c>
      <c r="C24" s="12"/>
      <c r="D24" s="12"/>
      <c r="E24" s="12"/>
      <c r="F24" s="12"/>
      <c r="G24" s="12"/>
      <c r="H24" s="12"/>
      <c r="I24" s="18">
        <f>+I22/I23</f>
        <v>0.87511495218288327</v>
      </c>
    </row>
    <row r="25" spans="1:13" x14ac:dyDescent="0.25">
      <c r="C25" s="22"/>
      <c r="D25" s="22"/>
      <c r="E25" s="22"/>
      <c r="F25" s="22"/>
      <c r="G25" s="22"/>
      <c r="H25" s="22"/>
      <c r="I25" s="44"/>
    </row>
    <row r="26" spans="1:13" x14ac:dyDescent="0.25">
      <c r="B26" s="22" t="s">
        <v>152</v>
      </c>
      <c r="I26" s="97">
        <v>11</v>
      </c>
    </row>
    <row r="27" spans="1:13" x14ac:dyDescent="0.25">
      <c r="B27" s="22" t="s">
        <v>153</v>
      </c>
      <c r="I27" s="67">
        <f>+I24/I26-1</f>
        <v>-0.92044409525610149</v>
      </c>
    </row>
    <row r="28" spans="1:13" x14ac:dyDescent="0.25">
      <c r="B28" s="22"/>
    </row>
    <row r="29" spans="1:13" x14ac:dyDescent="0.25">
      <c r="B29" s="22"/>
    </row>
    <row r="30" spans="1:13" x14ac:dyDescent="0.25">
      <c r="A30" s="74">
        <v>2</v>
      </c>
      <c r="B30" s="79" t="s">
        <v>161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</row>
    <row r="31" spans="1:13" x14ac:dyDescent="0.25">
      <c r="A31" s="2">
        <v>2.1</v>
      </c>
      <c r="B31" s="2" t="s">
        <v>110</v>
      </c>
      <c r="C31" s="82">
        <v>1</v>
      </c>
      <c r="D31" s="62" t="s">
        <v>151</v>
      </c>
      <c r="E31" s="2"/>
      <c r="F31" s="2"/>
      <c r="G31" s="2"/>
      <c r="H31" s="2"/>
      <c r="I31" s="42">
        <f>CHOOSE($C$31,I32,I33)</f>
        <v>0</v>
      </c>
      <c r="J31" s="42">
        <f t="shared" ref="J31:M31" si="5">CHOOSE($C$31,J32,J33)</f>
        <v>0</v>
      </c>
      <c r="K31" s="42">
        <f t="shared" si="5"/>
        <v>0</v>
      </c>
      <c r="L31" s="42">
        <f t="shared" si="5"/>
        <v>0</v>
      </c>
      <c r="M31" s="42">
        <f t="shared" si="5"/>
        <v>0</v>
      </c>
    </row>
    <row r="32" spans="1:13" s="21" customFormat="1" x14ac:dyDescent="0.25">
      <c r="B32" s="21" t="s">
        <v>150</v>
      </c>
      <c r="C32" s="7">
        <f>IF('Sensitivity Analysis'!C2="",DCF!$D$32,'Sensitivity Analysis'!C2)</f>
        <v>0</v>
      </c>
      <c r="D32" s="63">
        <f>+($C$38*M36)+($C$58*(1-I6)*M35)</f>
        <v>0</v>
      </c>
      <c r="I32" s="33">
        <f>+C32</f>
        <v>0</v>
      </c>
      <c r="J32" s="33">
        <f>+I32</f>
        <v>0</v>
      </c>
      <c r="K32" s="33">
        <f t="shared" ref="K32:M32" si="6">+J32</f>
        <v>0</v>
      </c>
      <c r="L32" s="33">
        <f t="shared" si="6"/>
        <v>0</v>
      </c>
      <c r="M32" s="33">
        <f t="shared" si="6"/>
        <v>0</v>
      </c>
    </row>
    <row r="33" spans="1:13" s="21" customFormat="1" x14ac:dyDescent="0.25">
      <c r="B33" s="21" t="s">
        <v>149</v>
      </c>
      <c r="I33" s="98"/>
      <c r="J33" s="98"/>
      <c r="K33" s="98"/>
      <c r="L33" s="98"/>
      <c r="M33" s="98"/>
    </row>
    <row r="34" spans="1:13" x14ac:dyDescent="0.25">
      <c r="B34" s="15" t="s">
        <v>112</v>
      </c>
      <c r="I34" s="41">
        <f>+FS!G53</f>
        <v>7.7995058399574602E-2</v>
      </c>
      <c r="J34" s="41">
        <f>+FS!H53</f>
        <v>0</v>
      </c>
      <c r="K34" s="41">
        <f>+FS!I53</f>
        <v>0</v>
      </c>
      <c r="L34" s="41">
        <f>+FS!J53</f>
        <v>0</v>
      </c>
      <c r="M34" s="41">
        <f>+FS!K53</f>
        <v>0</v>
      </c>
    </row>
    <row r="35" spans="1:13" x14ac:dyDescent="0.25">
      <c r="B35" s="15" t="s">
        <v>115</v>
      </c>
      <c r="I35" s="7">
        <f>+I34/(1+I34)</f>
        <v>7.2351962833084343E-2</v>
      </c>
      <c r="J35" s="7">
        <f t="shared" ref="J35:M35" si="7">+J34/(1+J34)</f>
        <v>0</v>
      </c>
      <c r="K35" s="7">
        <f t="shared" si="7"/>
        <v>0</v>
      </c>
      <c r="L35" s="7">
        <f t="shared" si="7"/>
        <v>0</v>
      </c>
      <c r="M35" s="7">
        <f t="shared" si="7"/>
        <v>0</v>
      </c>
    </row>
    <row r="36" spans="1:13" x14ac:dyDescent="0.25">
      <c r="B36" s="15" t="s">
        <v>111</v>
      </c>
      <c r="I36" s="7">
        <f>1-I35</f>
        <v>0.92764803716691568</v>
      </c>
      <c r="J36" s="7">
        <f t="shared" ref="J36:M36" si="8">1-J35</f>
        <v>1</v>
      </c>
      <c r="K36" s="7">
        <f t="shared" si="8"/>
        <v>1</v>
      </c>
      <c r="L36" s="7">
        <f t="shared" si="8"/>
        <v>1</v>
      </c>
      <c r="M36" s="7">
        <f t="shared" si="8"/>
        <v>1</v>
      </c>
    </row>
    <row r="37" spans="1:13" x14ac:dyDescent="0.25">
      <c r="B37" s="15"/>
      <c r="I37" s="7"/>
      <c r="J37" s="7"/>
      <c r="K37" s="7"/>
      <c r="L37" s="7"/>
      <c r="M37" s="7"/>
    </row>
    <row r="38" spans="1:13" x14ac:dyDescent="0.25">
      <c r="A38" s="2">
        <v>2.2000000000000002</v>
      </c>
      <c r="B38" s="2" t="s">
        <v>109</v>
      </c>
      <c r="C38" s="67">
        <f>+C40+(C39*C42)</f>
        <v>0</v>
      </c>
      <c r="D38" s="16"/>
    </row>
    <row r="39" spans="1:13" x14ac:dyDescent="0.25">
      <c r="B39" s="48" t="s">
        <v>108</v>
      </c>
      <c r="C39" s="49">
        <f>+C41-C40</f>
        <v>0</v>
      </c>
      <c r="D39" s="16"/>
    </row>
    <row r="40" spans="1:13" x14ac:dyDescent="0.25">
      <c r="B40" s="50" t="s">
        <v>105</v>
      </c>
      <c r="C40" s="46"/>
      <c r="D40" s="16"/>
    </row>
    <row r="41" spans="1:13" x14ac:dyDescent="0.25">
      <c r="B41" s="50" t="s">
        <v>104</v>
      </c>
      <c r="C41" s="46"/>
      <c r="D41" s="16"/>
    </row>
    <row r="42" spans="1:13" x14ac:dyDescent="0.25">
      <c r="B42" s="50" t="s">
        <v>107</v>
      </c>
      <c r="C42" s="47"/>
      <c r="D42" s="16"/>
    </row>
    <row r="43" spans="1:13" x14ac:dyDescent="0.25">
      <c r="B43" s="50"/>
      <c r="C43" s="61"/>
      <c r="D43" s="16"/>
    </row>
    <row r="44" spans="1:13" x14ac:dyDescent="0.25">
      <c r="A44" s="2">
        <v>2.2999999999999998</v>
      </c>
      <c r="B44" s="2" t="s">
        <v>106</v>
      </c>
      <c r="D44" s="16"/>
    </row>
    <row r="45" spans="1:13" x14ac:dyDescent="0.25">
      <c r="A45" s="2"/>
      <c r="B45" s="21" t="s">
        <v>166</v>
      </c>
      <c r="C45" s="77"/>
      <c r="D45" s="16"/>
      <c r="H45" s="16">
        <f>SUM(H46:H48)</f>
        <v>0</v>
      </c>
      <c r="I45" s="16">
        <f t="shared" ref="I45:M45" si="9">SUM(I46:I48)</f>
        <v>0</v>
      </c>
      <c r="J45" s="16">
        <f t="shared" si="9"/>
        <v>0</v>
      </c>
      <c r="K45" s="16">
        <f t="shared" si="9"/>
        <v>0</v>
      </c>
      <c r="L45" s="16">
        <f t="shared" si="9"/>
        <v>0</v>
      </c>
      <c r="M45" s="16">
        <f t="shared" si="9"/>
        <v>0</v>
      </c>
    </row>
    <row r="46" spans="1:13" x14ac:dyDescent="0.25">
      <c r="B46" s="15" t="s">
        <v>162</v>
      </c>
      <c r="H46" s="86"/>
      <c r="I46" s="86"/>
      <c r="J46" s="86"/>
      <c r="K46" s="86"/>
      <c r="L46" s="86"/>
      <c r="M46" s="86"/>
    </row>
    <row r="47" spans="1:13" x14ac:dyDescent="0.25">
      <c r="B47" s="15" t="s">
        <v>165</v>
      </c>
      <c r="H47" s="86"/>
      <c r="I47" s="86"/>
      <c r="J47" s="86"/>
      <c r="K47" s="86"/>
      <c r="L47" s="86"/>
      <c r="M47" s="86"/>
    </row>
    <row r="48" spans="1:13" x14ac:dyDescent="0.25">
      <c r="B48" s="15" t="s">
        <v>163</v>
      </c>
      <c r="H48" s="86"/>
      <c r="I48" s="86"/>
      <c r="J48" s="86"/>
      <c r="K48" s="86"/>
      <c r="L48" s="86"/>
      <c r="M48" s="86"/>
    </row>
    <row r="49" spans="2:13" x14ac:dyDescent="0.25">
      <c r="B49" s="21" t="s">
        <v>171</v>
      </c>
      <c r="H49" s="16"/>
      <c r="I49" s="16"/>
      <c r="J49" s="16"/>
      <c r="K49" s="16"/>
      <c r="L49" s="16"/>
      <c r="M49" s="16"/>
    </row>
    <row r="50" spans="2:13" x14ac:dyDescent="0.25">
      <c r="B50" s="15" t="s">
        <v>172</v>
      </c>
      <c r="H50" s="8" t="str">
        <f>IFERROR(H46/H$45,"N/A")</f>
        <v>N/A</v>
      </c>
      <c r="I50" s="8" t="str">
        <f t="shared" ref="I50:M50" si="10">IFERROR(I46/I$45,"N/A")</f>
        <v>N/A</v>
      </c>
      <c r="J50" s="8" t="str">
        <f t="shared" si="10"/>
        <v>N/A</v>
      </c>
      <c r="K50" s="8" t="str">
        <f t="shared" si="10"/>
        <v>N/A</v>
      </c>
      <c r="L50" s="8" t="str">
        <f t="shared" si="10"/>
        <v>N/A</v>
      </c>
      <c r="M50" s="8" t="str">
        <f t="shared" si="10"/>
        <v>N/A</v>
      </c>
    </row>
    <row r="51" spans="2:13" x14ac:dyDescent="0.25">
      <c r="B51" s="15" t="s">
        <v>173</v>
      </c>
      <c r="H51" s="8" t="str">
        <f t="shared" ref="H51:M51" si="11">IFERROR(H47/H$45,"N/A")</f>
        <v>N/A</v>
      </c>
      <c r="I51" s="8" t="str">
        <f t="shared" si="11"/>
        <v>N/A</v>
      </c>
      <c r="J51" s="8" t="str">
        <f t="shared" si="11"/>
        <v>N/A</v>
      </c>
      <c r="K51" s="8" t="str">
        <f t="shared" si="11"/>
        <v>N/A</v>
      </c>
      <c r="L51" s="8" t="str">
        <f t="shared" si="11"/>
        <v>N/A</v>
      </c>
      <c r="M51" s="8" t="str">
        <f t="shared" si="11"/>
        <v>N/A</v>
      </c>
    </row>
    <row r="52" spans="2:13" x14ac:dyDescent="0.25">
      <c r="B52" s="15" t="s">
        <v>174</v>
      </c>
      <c r="H52" s="8" t="str">
        <f t="shared" ref="H52:M52" si="12">IFERROR(H48/H$45,"N/A")</f>
        <v>N/A</v>
      </c>
      <c r="I52" s="8" t="str">
        <f t="shared" si="12"/>
        <v>N/A</v>
      </c>
      <c r="J52" s="8" t="str">
        <f t="shared" si="12"/>
        <v>N/A</v>
      </c>
      <c r="K52" s="8" t="str">
        <f t="shared" si="12"/>
        <v>N/A</v>
      </c>
      <c r="L52" s="8" t="str">
        <f t="shared" si="12"/>
        <v>N/A</v>
      </c>
      <c r="M52" s="8" t="str">
        <f t="shared" si="12"/>
        <v>N/A</v>
      </c>
    </row>
    <row r="53" spans="2:13" x14ac:dyDescent="0.25">
      <c r="B53" s="1" t="s">
        <v>167</v>
      </c>
    </row>
    <row r="54" spans="2:13" x14ac:dyDescent="0.25">
      <c r="B54" s="15" t="s">
        <v>168</v>
      </c>
      <c r="H54" s="87"/>
      <c r="I54" s="87"/>
      <c r="J54" s="87"/>
      <c r="K54" s="87"/>
      <c r="L54" s="87"/>
      <c r="M54" s="87"/>
    </row>
    <row r="55" spans="2:13" x14ac:dyDescent="0.25">
      <c r="B55" s="15" t="s">
        <v>169</v>
      </c>
      <c r="H55" s="87"/>
      <c r="I55" s="87"/>
      <c r="J55" s="87"/>
      <c r="K55" s="87"/>
      <c r="L55" s="87"/>
      <c r="M55" s="87"/>
    </row>
    <row r="56" spans="2:13" x14ac:dyDescent="0.25">
      <c r="B56" s="15" t="s">
        <v>170</v>
      </c>
      <c r="H56" s="87"/>
      <c r="I56" s="87"/>
      <c r="J56" s="87"/>
      <c r="K56" s="87"/>
      <c r="L56" s="87"/>
      <c r="M56" s="87"/>
    </row>
    <row r="57" spans="2:13" x14ac:dyDescent="0.25">
      <c r="B57" s="2" t="s">
        <v>175</v>
      </c>
      <c r="C57" s="2"/>
      <c r="D57" s="2"/>
      <c r="E57" s="2"/>
      <c r="F57" s="2"/>
      <c r="G57" s="2"/>
      <c r="H57" s="42">
        <f t="shared" ref="H57:M57" si="13">SUMPRODUCT(H50:H52,H54:H56)</f>
        <v>0</v>
      </c>
      <c r="I57" s="42">
        <f t="shared" si="13"/>
        <v>0</v>
      </c>
      <c r="J57" s="42">
        <f t="shared" si="13"/>
        <v>0</v>
      </c>
      <c r="K57" s="42">
        <f t="shared" si="13"/>
        <v>0</v>
      </c>
      <c r="L57" s="42">
        <f t="shared" si="13"/>
        <v>0</v>
      </c>
      <c r="M57" s="42">
        <f t="shared" si="13"/>
        <v>0</v>
      </c>
    </row>
    <row r="58" spans="2:13" x14ac:dyDescent="0.25">
      <c r="B58" s="2" t="s">
        <v>176</v>
      </c>
      <c r="C58" s="8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668A7-9B29-4154-A4F0-69E9E40D7357}">
  <dimension ref="B2:L33"/>
  <sheetViews>
    <sheetView workbookViewId="0">
      <selection activeCell="C23" sqref="C23"/>
    </sheetView>
  </sheetViews>
  <sheetFormatPr defaultRowHeight="15" x14ac:dyDescent="0.25"/>
  <cols>
    <col min="1" max="1" width="9.140625" style="1"/>
    <col min="2" max="2" width="28.140625" style="1" bestFit="1" customWidth="1"/>
    <col min="3" max="4" width="9.140625" style="1"/>
    <col min="5" max="5" width="6.5703125" style="1" customWidth="1"/>
    <col min="6" max="16384" width="9.140625" style="1"/>
  </cols>
  <sheetData>
    <row r="2" spans="2:12" x14ac:dyDescent="0.25">
      <c r="B2" s="1" t="s">
        <v>147</v>
      </c>
      <c r="C2" s="59"/>
    </row>
    <row r="3" spans="2:12" x14ac:dyDescent="0.25">
      <c r="B3" s="1" t="s">
        <v>148</v>
      </c>
      <c r="C3" s="59"/>
    </row>
    <row r="5" spans="2:12" x14ac:dyDescent="0.25">
      <c r="F5" s="83" t="s">
        <v>110</v>
      </c>
      <c r="G5" s="83"/>
      <c r="H5" s="83"/>
      <c r="I5" s="83"/>
      <c r="J5" s="83"/>
      <c r="K5" s="83"/>
      <c r="L5" s="83"/>
    </row>
    <row r="6" spans="2:12" x14ac:dyDescent="0.25">
      <c r="E6" s="11">
        <f>+DCF!I24</f>
        <v>0.87511495218288327</v>
      </c>
      <c r="F6" s="64">
        <v>0.1</v>
      </c>
      <c r="G6" s="64">
        <f>+F6+0.01</f>
        <v>0.11</v>
      </c>
      <c r="H6" s="64">
        <f t="shared" ref="H6" si="0">+G6+0.01</f>
        <v>0.12</v>
      </c>
      <c r="I6" s="65">
        <f>+DCF!D32</f>
        <v>0</v>
      </c>
      <c r="J6" s="64">
        <f>+H6+0.01</f>
        <v>0.13</v>
      </c>
      <c r="K6" s="64">
        <f>+J6+0.01</f>
        <v>0.14000000000000001</v>
      </c>
      <c r="L6" s="64">
        <f>+K6+0.01</f>
        <v>0.15000000000000002</v>
      </c>
    </row>
    <row r="7" spans="2:12" x14ac:dyDescent="0.25">
      <c r="D7" s="84" t="s">
        <v>118</v>
      </c>
      <c r="E7" s="66">
        <v>0</v>
      </c>
      <c r="F7" s="11"/>
      <c r="G7" s="11"/>
      <c r="H7" s="11"/>
      <c r="I7" s="11"/>
      <c r="J7" s="11"/>
      <c r="K7" s="11"/>
      <c r="L7" s="11"/>
    </row>
    <row r="8" spans="2:12" x14ac:dyDescent="0.25">
      <c r="D8" s="84"/>
      <c r="E8" s="66">
        <f>+E7+0.005</f>
        <v>5.0000000000000001E-3</v>
      </c>
      <c r="F8" s="11"/>
      <c r="G8" s="11"/>
      <c r="H8" s="11"/>
      <c r="I8" s="11"/>
      <c r="J8" s="11"/>
      <c r="K8" s="11"/>
      <c r="L8" s="11"/>
    </row>
    <row r="9" spans="2:12" x14ac:dyDescent="0.25">
      <c r="D9" s="84"/>
      <c r="E9" s="66">
        <f t="shared" ref="E9:E17" si="1">+E8+0.005</f>
        <v>0.01</v>
      </c>
      <c r="F9" s="11"/>
      <c r="G9" s="11"/>
      <c r="H9" s="11"/>
      <c r="I9" s="11"/>
      <c r="J9" s="11"/>
      <c r="K9" s="11"/>
      <c r="L9" s="11"/>
    </row>
    <row r="10" spans="2:12" x14ac:dyDescent="0.25">
      <c r="D10" s="84"/>
      <c r="E10" s="66">
        <f t="shared" si="1"/>
        <v>1.4999999999999999E-2</v>
      </c>
      <c r="F10" s="11"/>
      <c r="G10" s="11"/>
      <c r="H10" s="11"/>
      <c r="I10" s="11"/>
      <c r="J10" s="11"/>
      <c r="K10" s="11"/>
      <c r="L10" s="11"/>
    </row>
    <row r="11" spans="2:12" x14ac:dyDescent="0.25">
      <c r="D11" s="84"/>
      <c r="E11" s="66">
        <f t="shared" si="1"/>
        <v>0.02</v>
      </c>
      <c r="F11" s="11"/>
      <c r="G11" s="11"/>
      <c r="H11" s="11"/>
      <c r="I11" s="11"/>
      <c r="J11" s="11"/>
      <c r="K11" s="11"/>
      <c r="L11" s="11"/>
    </row>
    <row r="12" spans="2:12" x14ac:dyDescent="0.25">
      <c r="D12" s="84"/>
      <c r="E12" s="66">
        <f t="shared" si="1"/>
        <v>2.5000000000000001E-2</v>
      </c>
      <c r="F12" s="11"/>
      <c r="G12" s="11"/>
      <c r="H12" s="11"/>
      <c r="I12" s="11"/>
      <c r="J12" s="11"/>
      <c r="K12" s="11"/>
      <c r="L12" s="11"/>
    </row>
    <row r="13" spans="2:12" x14ac:dyDescent="0.25">
      <c r="D13" s="84"/>
      <c r="E13" s="66">
        <f t="shared" si="1"/>
        <v>3.0000000000000002E-2</v>
      </c>
      <c r="F13" s="11"/>
      <c r="G13" s="11"/>
      <c r="H13" s="11"/>
      <c r="I13" s="11"/>
      <c r="J13" s="11"/>
      <c r="K13" s="11"/>
      <c r="L13" s="11"/>
    </row>
    <row r="14" spans="2:12" x14ac:dyDescent="0.25">
      <c r="D14" s="84"/>
      <c r="E14" s="66">
        <f t="shared" si="1"/>
        <v>3.5000000000000003E-2</v>
      </c>
      <c r="F14" s="11"/>
      <c r="G14" s="11"/>
      <c r="H14" s="11"/>
      <c r="I14" s="11"/>
      <c r="J14" s="11"/>
      <c r="K14" s="11"/>
      <c r="L14" s="11"/>
    </row>
    <row r="15" spans="2:12" x14ac:dyDescent="0.25">
      <c r="D15" s="84"/>
      <c r="E15" s="66">
        <f t="shared" si="1"/>
        <v>0.04</v>
      </c>
      <c r="F15" s="11"/>
      <c r="G15" s="11"/>
      <c r="H15" s="11"/>
      <c r="I15" s="11"/>
      <c r="J15" s="11"/>
      <c r="K15" s="11"/>
      <c r="L15" s="11"/>
    </row>
    <row r="16" spans="2:12" x14ac:dyDescent="0.25">
      <c r="D16" s="84"/>
      <c r="E16" s="66">
        <f t="shared" si="1"/>
        <v>4.4999999999999998E-2</v>
      </c>
      <c r="F16" s="11"/>
      <c r="G16" s="11"/>
      <c r="H16" s="11"/>
      <c r="I16" s="11"/>
      <c r="J16" s="11"/>
      <c r="K16" s="11"/>
      <c r="L16" s="11"/>
    </row>
    <row r="17" spans="4:12" x14ac:dyDescent="0.25">
      <c r="D17" s="84"/>
      <c r="E17" s="66">
        <f t="shared" si="1"/>
        <v>4.9999999999999996E-2</v>
      </c>
      <c r="F17" s="11"/>
      <c r="G17" s="11"/>
      <c r="H17" s="11"/>
      <c r="I17" s="11"/>
      <c r="J17" s="11"/>
      <c r="K17" s="11"/>
      <c r="L17" s="11"/>
    </row>
    <row r="21" spans="4:12" x14ac:dyDescent="0.25">
      <c r="F21" s="83" t="s">
        <v>110</v>
      </c>
      <c r="G21" s="83"/>
      <c r="H21" s="83"/>
      <c r="I21" s="83"/>
      <c r="J21" s="83"/>
      <c r="K21" s="83"/>
      <c r="L21" s="83"/>
    </row>
    <row r="22" spans="4:12" x14ac:dyDescent="0.25">
      <c r="E22" s="7">
        <f>+DCF!I27</f>
        <v>-0.92044409525610149</v>
      </c>
      <c r="F22" s="64">
        <v>0.1</v>
      </c>
      <c r="G22" s="64">
        <f>+F22+0.01</f>
        <v>0.11</v>
      </c>
      <c r="H22" s="64">
        <f t="shared" ref="H22" si="2">+G22+0.01</f>
        <v>0.12</v>
      </c>
      <c r="I22" s="65">
        <f>+I6</f>
        <v>0</v>
      </c>
      <c r="J22" s="64">
        <f>+H22+0.01</f>
        <v>0.13</v>
      </c>
      <c r="K22" s="64">
        <f>+J22+0.01</f>
        <v>0.14000000000000001</v>
      </c>
      <c r="L22" s="64">
        <f>+K22+0.01</f>
        <v>0.15000000000000002</v>
      </c>
    </row>
    <row r="23" spans="4:12" x14ac:dyDescent="0.25">
      <c r="D23" s="84" t="s">
        <v>118</v>
      </c>
      <c r="E23" s="66">
        <v>0</v>
      </c>
      <c r="F23" s="7"/>
      <c r="G23" s="7"/>
      <c r="H23" s="7"/>
      <c r="I23" s="7"/>
      <c r="J23" s="7"/>
      <c r="K23" s="7"/>
      <c r="L23" s="7"/>
    </row>
    <row r="24" spans="4:12" x14ac:dyDescent="0.25">
      <c r="D24" s="84"/>
      <c r="E24" s="66">
        <f>+E23+0.005</f>
        <v>5.0000000000000001E-3</v>
      </c>
      <c r="F24" s="7"/>
      <c r="G24" s="7"/>
      <c r="H24" s="7"/>
      <c r="I24" s="7"/>
      <c r="J24" s="7"/>
      <c r="K24" s="7"/>
      <c r="L24" s="7"/>
    </row>
    <row r="25" spans="4:12" x14ac:dyDescent="0.25">
      <c r="D25" s="84"/>
      <c r="E25" s="66">
        <f t="shared" ref="E25:E33" si="3">+E24+0.005</f>
        <v>0.01</v>
      </c>
      <c r="F25" s="7"/>
      <c r="G25" s="7"/>
      <c r="H25" s="7"/>
      <c r="I25" s="7"/>
      <c r="J25" s="7"/>
      <c r="K25" s="7"/>
      <c r="L25" s="7"/>
    </row>
    <row r="26" spans="4:12" x14ac:dyDescent="0.25">
      <c r="D26" s="84"/>
      <c r="E26" s="66">
        <f t="shared" si="3"/>
        <v>1.4999999999999999E-2</v>
      </c>
      <c r="F26" s="7"/>
      <c r="G26" s="7"/>
      <c r="H26" s="7"/>
      <c r="I26" s="7"/>
      <c r="J26" s="7"/>
      <c r="K26" s="7"/>
      <c r="L26" s="7"/>
    </row>
    <row r="27" spans="4:12" x14ac:dyDescent="0.25">
      <c r="D27" s="84"/>
      <c r="E27" s="66">
        <f t="shared" si="3"/>
        <v>0.02</v>
      </c>
      <c r="F27" s="7"/>
      <c r="G27" s="7"/>
      <c r="H27" s="7"/>
      <c r="I27" s="7"/>
      <c r="J27" s="7"/>
      <c r="K27" s="7"/>
      <c r="L27" s="7"/>
    </row>
    <row r="28" spans="4:12" x14ac:dyDescent="0.25">
      <c r="D28" s="84"/>
      <c r="E28" s="66">
        <f t="shared" si="3"/>
        <v>2.5000000000000001E-2</v>
      </c>
      <c r="F28" s="7"/>
      <c r="G28" s="7"/>
      <c r="H28" s="7"/>
      <c r="I28" s="7"/>
      <c r="J28" s="7"/>
      <c r="K28" s="7"/>
      <c r="L28" s="7"/>
    </row>
    <row r="29" spans="4:12" x14ac:dyDescent="0.25">
      <c r="D29" s="84"/>
      <c r="E29" s="66">
        <f t="shared" si="3"/>
        <v>3.0000000000000002E-2</v>
      </c>
      <c r="F29" s="7"/>
      <c r="G29" s="7"/>
      <c r="H29" s="7"/>
      <c r="I29" s="7"/>
      <c r="J29" s="7"/>
      <c r="K29" s="7"/>
      <c r="L29" s="7"/>
    </row>
    <row r="30" spans="4:12" x14ac:dyDescent="0.25">
      <c r="D30" s="84"/>
      <c r="E30" s="66">
        <f t="shared" si="3"/>
        <v>3.5000000000000003E-2</v>
      </c>
      <c r="F30" s="7"/>
      <c r="G30" s="7"/>
      <c r="H30" s="7"/>
      <c r="I30" s="7"/>
      <c r="J30" s="7"/>
      <c r="K30" s="7"/>
      <c r="L30" s="7"/>
    </row>
    <row r="31" spans="4:12" x14ac:dyDescent="0.25">
      <c r="D31" s="84"/>
      <c r="E31" s="66">
        <f t="shared" si="3"/>
        <v>0.04</v>
      </c>
      <c r="F31" s="7"/>
      <c r="G31" s="7"/>
      <c r="H31" s="7"/>
      <c r="I31" s="7"/>
      <c r="J31" s="7"/>
      <c r="K31" s="7"/>
      <c r="L31" s="7"/>
    </row>
    <row r="32" spans="4:12" x14ac:dyDescent="0.25">
      <c r="D32" s="84"/>
      <c r="E32" s="66">
        <f t="shared" si="3"/>
        <v>4.4999999999999998E-2</v>
      </c>
      <c r="F32" s="7"/>
      <c r="G32" s="7"/>
      <c r="H32" s="7"/>
      <c r="I32" s="7"/>
      <c r="J32" s="7"/>
      <c r="K32" s="7"/>
      <c r="L32" s="7"/>
    </row>
    <row r="33" spans="4:12" x14ac:dyDescent="0.25">
      <c r="D33" s="84"/>
      <c r="E33" s="66">
        <f t="shared" si="3"/>
        <v>4.9999999999999996E-2</v>
      </c>
      <c r="F33" s="7"/>
      <c r="G33" s="7"/>
      <c r="H33" s="7"/>
      <c r="I33" s="7"/>
      <c r="J33" s="7"/>
      <c r="K33" s="7"/>
      <c r="L33" s="7"/>
    </row>
  </sheetData>
  <mergeCells count="4">
    <mergeCell ref="F5:L5"/>
    <mergeCell ref="D7:D17"/>
    <mergeCell ref="D23:D33"/>
    <mergeCell ref="F21:L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Step</vt:lpstr>
      <vt:lpstr>Assumptions</vt:lpstr>
      <vt:lpstr>FS</vt:lpstr>
      <vt:lpstr>PPE</vt:lpstr>
      <vt:lpstr>Debt Schedule</vt:lpstr>
      <vt:lpstr>DCF</vt:lpstr>
      <vt:lpstr>Sensitivity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 Thana-ek</dc:creator>
  <cp:lastModifiedBy>Good Thana-ek</cp:lastModifiedBy>
  <cp:lastPrinted>2020-02-28T16:53:45Z</cp:lastPrinted>
  <dcterms:created xsi:type="dcterms:W3CDTF">2020-02-10T14:26:03Z</dcterms:created>
  <dcterms:modified xsi:type="dcterms:W3CDTF">2020-02-28T17:18:06Z</dcterms:modified>
</cp:coreProperties>
</file>