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od Thana-ek\Documents\EE532\"/>
    </mc:Choice>
  </mc:AlternateContent>
  <xr:revisionPtr revIDLastSave="0" documentId="13_ncr:1_{A43018FA-3BF3-409F-BCFB-58762DC59E14}" xr6:coauthVersionLast="45" xr6:coauthVersionMax="45" xr10:uidLastSave="{00000000-0000-0000-0000-000000000000}"/>
  <bookViews>
    <workbookView xWindow="-120" yWindow="-120" windowWidth="29040" windowHeight="16440" activeTab="5" xr2:uid="{00000000-000D-0000-FFFF-FFFF00000000}"/>
  </bookViews>
  <sheets>
    <sheet name="Step" sheetId="6" r:id="rId1"/>
    <sheet name="Assumptions" sheetId="2" r:id="rId2"/>
    <sheet name="FS" sheetId="1" r:id="rId3"/>
    <sheet name="PPE" sheetId="3" r:id="rId4"/>
    <sheet name="Debt Schedule" sheetId="4" r:id="rId5"/>
    <sheet name="DCF" sheetId="5" r:id="rId6"/>
    <sheet name="Sensitivity Analysis" sheetId="7" r:id="rId7"/>
  </sheets>
  <calcPr calcId="181029" calcMode="autoNoTable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8" i="5" l="1"/>
  <c r="K8" i="5"/>
  <c r="L8" i="5"/>
  <c r="M8" i="5"/>
  <c r="I8" i="5"/>
  <c r="J11" i="5" l="1"/>
  <c r="K11" i="5"/>
  <c r="L11" i="5"/>
  <c r="M11" i="5"/>
  <c r="I11" i="5"/>
  <c r="J10" i="5"/>
  <c r="K10" i="5"/>
  <c r="L10" i="5"/>
  <c r="M10" i="5"/>
  <c r="I10" i="5"/>
  <c r="D32" i="5" l="1"/>
  <c r="C32" i="5" l="1"/>
  <c r="C17" i="5"/>
  <c r="J54" i="5" l="1"/>
  <c r="K54" i="5" s="1"/>
  <c r="L54" i="5" s="1"/>
  <c r="M54" i="5" s="1"/>
  <c r="I56" i="5"/>
  <c r="J56" i="5" s="1"/>
  <c r="K56" i="5" s="1"/>
  <c r="L56" i="5" s="1"/>
  <c r="M56" i="5" s="1"/>
  <c r="I55" i="5"/>
  <c r="J55" i="5" s="1"/>
  <c r="K55" i="5" s="1"/>
  <c r="L55" i="5" s="1"/>
  <c r="M55" i="5" s="1"/>
  <c r="I54" i="5"/>
  <c r="I48" i="5"/>
  <c r="K46" i="5"/>
  <c r="L46" i="5"/>
  <c r="M46" i="5"/>
  <c r="I6" i="5" l="1"/>
  <c r="J6" i="5"/>
  <c r="K6" i="5"/>
  <c r="L6" i="5"/>
  <c r="M6" i="5"/>
  <c r="H30" i="4" l="1"/>
  <c r="G34" i="4"/>
  <c r="G33" i="4"/>
  <c r="G35" i="4" s="1"/>
  <c r="H33" i="4"/>
  <c r="G32" i="4"/>
  <c r="G31" i="4"/>
  <c r="J2" i="5"/>
  <c r="K2" i="5" s="1"/>
  <c r="L2" i="5" s="1"/>
  <c r="M2" i="5" s="1"/>
  <c r="G9" i="2"/>
  <c r="H9" i="2" s="1"/>
  <c r="I9" i="2" s="1"/>
  <c r="J9" i="2" s="1"/>
  <c r="K9" i="2" s="1"/>
  <c r="K7" i="2" s="1"/>
  <c r="F10" i="2"/>
  <c r="E10" i="2"/>
  <c r="H45" i="5" l="1"/>
  <c r="H52" i="5" s="1"/>
  <c r="G36" i="4"/>
  <c r="I47" i="5" s="1"/>
  <c r="E17" i="4"/>
  <c r="F17" i="4" s="1"/>
  <c r="G17" i="4" s="1"/>
  <c r="H17" i="4" s="1"/>
  <c r="I30" i="4"/>
  <c r="J30" i="4" s="1"/>
  <c r="K30" i="4" s="1"/>
  <c r="H47" i="4"/>
  <c r="K48" i="4"/>
  <c r="H48" i="4"/>
  <c r="J43" i="4"/>
  <c r="K43" i="4" s="1"/>
  <c r="K47" i="4" s="1"/>
  <c r="I43" i="4"/>
  <c r="I47" i="4" s="1"/>
  <c r="I6" i="4"/>
  <c r="I70" i="1" s="1"/>
  <c r="J6" i="4"/>
  <c r="J70" i="1" s="1"/>
  <c r="K6" i="4"/>
  <c r="K70" i="1" s="1"/>
  <c r="H45" i="4"/>
  <c r="H44" i="4"/>
  <c r="I20" i="5"/>
  <c r="I21" i="5"/>
  <c r="J48" i="4" l="1"/>
  <c r="J47" i="4"/>
  <c r="I48" i="4"/>
  <c r="H50" i="5"/>
  <c r="H51" i="5"/>
  <c r="H57" i="5" s="1"/>
  <c r="H31" i="4"/>
  <c r="H34" i="4"/>
  <c r="H49" i="4"/>
  <c r="J48" i="5" s="1"/>
  <c r="H23" i="7"/>
  <c r="I23" i="7" s="1"/>
  <c r="K23" i="7" s="1"/>
  <c r="L23" i="7" s="1"/>
  <c r="M23" i="7" s="1"/>
  <c r="F25" i="7"/>
  <c r="F26" i="7" s="1"/>
  <c r="F27" i="7" s="1"/>
  <c r="F28" i="7" s="1"/>
  <c r="F29" i="7" s="1"/>
  <c r="F30" i="7" s="1"/>
  <c r="F31" i="7" s="1"/>
  <c r="F32" i="7" s="1"/>
  <c r="F33" i="7" s="1"/>
  <c r="F34" i="7" s="1"/>
  <c r="F9" i="7"/>
  <c r="F10" i="7" s="1"/>
  <c r="F11" i="7" s="1"/>
  <c r="F12" i="7" s="1"/>
  <c r="F13" i="7" s="1"/>
  <c r="F14" i="7" s="1"/>
  <c r="F15" i="7" s="1"/>
  <c r="F16" i="7" s="1"/>
  <c r="F17" i="7" s="1"/>
  <c r="F18" i="7" s="1"/>
  <c r="H7" i="7"/>
  <c r="I7" i="7" s="1"/>
  <c r="K7" i="7" s="1"/>
  <c r="L7" i="7" s="1"/>
  <c r="M7" i="7" s="1"/>
  <c r="H6" i="4"/>
  <c r="H70" i="1" s="1"/>
  <c r="I33" i="4"/>
  <c r="I7" i="4" s="1"/>
  <c r="J33" i="4"/>
  <c r="J7" i="4" s="1"/>
  <c r="K33" i="4"/>
  <c r="K7" i="4" s="1"/>
  <c r="B4" i="6"/>
  <c r="B5" i="6" s="1"/>
  <c r="B6" i="6" s="1"/>
  <c r="B7" i="6" s="1"/>
  <c r="B8" i="6" s="1"/>
  <c r="B9" i="6" s="1"/>
  <c r="B10" i="6" s="1"/>
  <c r="B11" i="6" s="1"/>
  <c r="I44" i="4" l="1"/>
  <c r="I49" i="4" s="1"/>
  <c r="K48" i="5" s="1"/>
  <c r="H35" i="4"/>
  <c r="D62" i="2"/>
  <c r="D18" i="3"/>
  <c r="D4" i="3" s="1"/>
  <c r="G6" i="4"/>
  <c r="G70" i="1" s="1"/>
  <c r="F6" i="4"/>
  <c r="E6" i="4"/>
  <c r="D5" i="4"/>
  <c r="D21" i="4"/>
  <c r="D8" i="4" s="1"/>
  <c r="D19" i="4"/>
  <c r="D6" i="4" s="1"/>
  <c r="D77" i="1"/>
  <c r="F43" i="3"/>
  <c r="F45" i="3" s="1"/>
  <c r="E35" i="3"/>
  <c r="E37" i="3" s="1"/>
  <c r="D27" i="3"/>
  <c r="D5" i="3" s="1"/>
  <c r="F5" i="3" l="1"/>
  <c r="F12" i="3" s="1"/>
  <c r="E5" i="3"/>
  <c r="E12" i="3" s="1"/>
  <c r="D12" i="3"/>
  <c r="H36" i="4"/>
  <c r="J47" i="5" s="1"/>
  <c r="J44" i="4"/>
  <c r="D29" i="3"/>
  <c r="I34" i="4" l="1"/>
  <c r="I35" i="4" s="1"/>
  <c r="I31" i="4"/>
  <c r="I5" i="4" s="1"/>
  <c r="J49" i="4"/>
  <c r="L48" i="5" s="1"/>
  <c r="C39" i="5"/>
  <c r="C38" i="5" s="1"/>
  <c r="J3" i="5"/>
  <c r="K3" i="5" s="1"/>
  <c r="L3" i="5" s="1"/>
  <c r="M3" i="5" s="1"/>
  <c r="E56" i="1"/>
  <c r="F56" i="1" s="1"/>
  <c r="G56" i="1" s="1"/>
  <c r="H56" i="1" s="1"/>
  <c r="I56" i="1" s="1"/>
  <c r="J56" i="1" s="1"/>
  <c r="K56" i="1" s="1"/>
  <c r="D49" i="2"/>
  <c r="E49" i="2"/>
  <c r="F49" i="2"/>
  <c r="G49" i="2" s="1"/>
  <c r="H49" i="2" s="1"/>
  <c r="I49" i="2" s="1"/>
  <c r="J49" i="2" s="1"/>
  <c r="K49" i="2" s="1"/>
  <c r="E2" i="4"/>
  <c r="F2" i="4" s="1"/>
  <c r="G2" i="4" s="1"/>
  <c r="H2" i="4" s="1"/>
  <c r="I2" i="4" s="1"/>
  <c r="J2" i="4" s="1"/>
  <c r="K2" i="4" s="1"/>
  <c r="E3" i="3"/>
  <c r="F3" i="3" s="1"/>
  <c r="G3" i="3" s="1"/>
  <c r="H3" i="3" s="1"/>
  <c r="I3" i="3" s="1"/>
  <c r="J3" i="3" s="1"/>
  <c r="K3" i="3" s="1"/>
  <c r="L3" i="3" s="1"/>
  <c r="M3" i="3" s="1"/>
  <c r="N3" i="3" s="1"/>
  <c r="O3" i="3" s="1"/>
  <c r="H20" i="4"/>
  <c r="H7" i="4" s="1"/>
  <c r="G20" i="4"/>
  <c r="G7" i="4" s="1"/>
  <c r="F20" i="4"/>
  <c r="F7" i="4" s="1"/>
  <c r="E20" i="4"/>
  <c r="E7" i="4" s="1"/>
  <c r="D20" i="4"/>
  <c r="D7" i="4" s="1"/>
  <c r="C21" i="3"/>
  <c r="H20" i="3"/>
  <c r="G20" i="3"/>
  <c r="F20" i="3"/>
  <c r="E20" i="3"/>
  <c r="D20" i="3"/>
  <c r="D6" i="3" s="1"/>
  <c r="E34" i="2"/>
  <c r="F34" i="2" s="1"/>
  <c r="G34" i="2" s="1"/>
  <c r="H34" i="2" s="1"/>
  <c r="I34" i="2" s="1"/>
  <c r="J34" i="2" s="1"/>
  <c r="K34" i="2" s="1"/>
  <c r="F48" i="2"/>
  <c r="G48" i="2" s="1"/>
  <c r="H48" i="2" s="1"/>
  <c r="I48" i="2" s="1"/>
  <c r="J48" i="2" s="1"/>
  <c r="K48" i="2" s="1"/>
  <c r="E48" i="2"/>
  <c r="D48" i="2"/>
  <c r="F47" i="2"/>
  <c r="G47" i="2" s="1"/>
  <c r="H47" i="2" s="1"/>
  <c r="I47" i="2" s="1"/>
  <c r="J47" i="2" s="1"/>
  <c r="K47" i="2" s="1"/>
  <c r="E47" i="2"/>
  <c r="D47" i="2"/>
  <c r="F44" i="2"/>
  <c r="E44" i="2"/>
  <c r="D44" i="2"/>
  <c r="F43" i="2"/>
  <c r="G43" i="2" s="1"/>
  <c r="H43" i="2" s="1"/>
  <c r="I43" i="2" s="1"/>
  <c r="J43" i="2" s="1"/>
  <c r="K43" i="2" s="1"/>
  <c r="E43" i="2"/>
  <c r="D43" i="2"/>
  <c r="F42" i="2"/>
  <c r="G42" i="2" s="1"/>
  <c r="H42" i="2" s="1"/>
  <c r="I42" i="2" s="1"/>
  <c r="J42" i="2" s="1"/>
  <c r="K42" i="2" s="1"/>
  <c r="E42" i="2"/>
  <c r="D42" i="2"/>
  <c r="F41" i="2"/>
  <c r="G41" i="2" s="1"/>
  <c r="H41" i="2" s="1"/>
  <c r="I41" i="2" s="1"/>
  <c r="J41" i="2" s="1"/>
  <c r="K41" i="2" s="1"/>
  <c r="E41" i="2"/>
  <c r="D41" i="2"/>
  <c r="F38" i="2"/>
  <c r="E38" i="2"/>
  <c r="D38" i="2"/>
  <c r="F35" i="2"/>
  <c r="E35" i="2"/>
  <c r="D35" i="2"/>
  <c r="F25" i="1"/>
  <c r="E25" i="1"/>
  <c r="D25" i="1"/>
  <c r="D21" i="1"/>
  <c r="E21" i="1"/>
  <c r="F21" i="1"/>
  <c r="D12" i="2"/>
  <c r="E12" i="2"/>
  <c r="F12" i="2"/>
  <c r="B19" i="2"/>
  <c r="D24" i="2"/>
  <c r="E24" i="2"/>
  <c r="F24" i="2"/>
  <c r="B24" i="2"/>
  <c r="B17" i="2"/>
  <c r="D17" i="2"/>
  <c r="E17" i="2"/>
  <c r="F17" i="2"/>
  <c r="G17" i="2" s="1"/>
  <c r="H17" i="2" s="1"/>
  <c r="B15" i="2"/>
  <c r="D15" i="2"/>
  <c r="E15" i="2"/>
  <c r="F15" i="2"/>
  <c r="D3" i="2"/>
  <c r="E3" i="2"/>
  <c r="F3" i="2"/>
  <c r="E2" i="2"/>
  <c r="F2" i="2" s="1"/>
  <c r="G2" i="2" s="1"/>
  <c r="H2" i="2" s="1"/>
  <c r="I2" i="2" s="1"/>
  <c r="J2" i="2" s="1"/>
  <c r="K2" i="2" s="1"/>
  <c r="E28" i="1"/>
  <c r="F28" i="1" s="1"/>
  <c r="G28" i="1" s="1"/>
  <c r="H28" i="1" s="1"/>
  <c r="I28" i="1" s="1"/>
  <c r="J28" i="1" s="1"/>
  <c r="K28" i="1" s="1"/>
  <c r="E59" i="1"/>
  <c r="E60" i="1"/>
  <c r="F37" i="1"/>
  <c r="F44" i="1"/>
  <c r="E37" i="1"/>
  <c r="D37" i="1"/>
  <c r="D41" i="1"/>
  <c r="F41" i="1"/>
  <c r="E41" i="1"/>
  <c r="D44" i="1"/>
  <c r="E44" i="1"/>
  <c r="E62" i="1"/>
  <c r="F62" i="1"/>
  <c r="E63" i="1"/>
  <c r="F63" i="1"/>
  <c r="E64" i="1"/>
  <c r="F64" i="1"/>
  <c r="E65" i="1"/>
  <c r="F65" i="1"/>
  <c r="F60" i="1"/>
  <c r="F59" i="1"/>
  <c r="D6" i="1"/>
  <c r="D22" i="1" s="1"/>
  <c r="E6" i="1"/>
  <c r="E22" i="1" s="1"/>
  <c r="F6" i="1"/>
  <c r="F22" i="1" s="1"/>
  <c r="E2" i="1"/>
  <c r="F2" i="1" s="1"/>
  <c r="G2" i="1" s="1"/>
  <c r="H2" i="1" s="1"/>
  <c r="I2" i="1" s="1"/>
  <c r="J2" i="1" s="1"/>
  <c r="K2" i="1" s="1"/>
  <c r="H46" i="1" l="1"/>
  <c r="I8" i="4"/>
  <c r="I22" i="2" s="1"/>
  <c r="D11" i="3"/>
  <c r="D13" i="3" s="1"/>
  <c r="F11" i="3"/>
  <c r="F13" i="3" s="1"/>
  <c r="E11" i="3"/>
  <c r="E13" i="3" s="1"/>
  <c r="E51" i="2"/>
  <c r="I36" i="4"/>
  <c r="K47" i="5" s="1"/>
  <c r="I9" i="4"/>
  <c r="I71" i="1" s="1"/>
  <c r="K44" i="4"/>
  <c r="D51" i="2"/>
  <c r="D52" i="2" s="1"/>
  <c r="F51" i="2"/>
  <c r="D21" i="3"/>
  <c r="D7" i="3" s="1"/>
  <c r="D8" i="3" s="1"/>
  <c r="E7" i="2"/>
  <c r="E11" i="2" s="1"/>
  <c r="D7" i="2"/>
  <c r="D11" i="2" s="1"/>
  <c r="E45" i="2"/>
  <c r="E46" i="2" s="1"/>
  <c r="G46" i="1"/>
  <c r="G35" i="1"/>
  <c r="D22" i="4"/>
  <c r="I28" i="3"/>
  <c r="E28" i="3"/>
  <c r="E6" i="3" s="1"/>
  <c r="F28" i="3"/>
  <c r="H28" i="3"/>
  <c r="G28" i="3"/>
  <c r="E26" i="3"/>
  <c r="I36" i="3"/>
  <c r="H36" i="3"/>
  <c r="J36" i="3"/>
  <c r="F34" i="3"/>
  <c r="G36" i="3"/>
  <c r="F36" i="3"/>
  <c r="I44" i="3"/>
  <c r="J44" i="3"/>
  <c r="G42" i="3"/>
  <c r="H44" i="3"/>
  <c r="K44" i="3"/>
  <c r="G44" i="3"/>
  <c r="E68" i="1"/>
  <c r="F45" i="2"/>
  <c r="F46" i="2" s="1"/>
  <c r="E39" i="2"/>
  <c r="E40" i="2" s="1"/>
  <c r="F36" i="2"/>
  <c r="F37" i="2" s="1"/>
  <c r="G37" i="2" s="1"/>
  <c r="H37" i="2" s="1"/>
  <c r="I37" i="2" s="1"/>
  <c r="J37" i="2" s="1"/>
  <c r="K37" i="2" s="1"/>
  <c r="E36" i="2"/>
  <c r="E37" i="2" s="1"/>
  <c r="F39" i="2"/>
  <c r="F40" i="2" s="1"/>
  <c r="G40" i="2" s="1"/>
  <c r="H40" i="2" s="1"/>
  <c r="I40" i="2" s="1"/>
  <c r="J40" i="2" s="1"/>
  <c r="K40" i="2" s="1"/>
  <c r="D36" i="2"/>
  <c r="D37" i="2" s="1"/>
  <c r="D39" i="2"/>
  <c r="D40" i="2" s="1"/>
  <c r="D45" i="2"/>
  <c r="D46" i="2" s="1"/>
  <c r="F16" i="2"/>
  <c r="G16" i="2" s="1"/>
  <c r="H16" i="2" s="1"/>
  <c r="I16" i="2" s="1"/>
  <c r="J16" i="2" s="1"/>
  <c r="K16" i="2" s="1"/>
  <c r="F13" i="2"/>
  <c r="F14" i="2" s="1"/>
  <c r="G14" i="2" s="1"/>
  <c r="H14" i="2" s="1"/>
  <c r="I14" i="2" s="1"/>
  <c r="J14" i="2" s="1"/>
  <c r="K14" i="2" s="1"/>
  <c r="E13" i="2"/>
  <c r="E14" i="2" s="1"/>
  <c r="D13" i="2"/>
  <c r="D14" i="2" s="1"/>
  <c r="I17" i="2"/>
  <c r="H8" i="1"/>
  <c r="G8" i="1"/>
  <c r="G25" i="1" s="1"/>
  <c r="E18" i="2"/>
  <c r="E16" i="2"/>
  <c r="F18" i="2"/>
  <c r="D16" i="2"/>
  <c r="E4" i="2"/>
  <c r="F4" i="2"/>
  <c r="E45" i="1"/>
  <c r="D45" i="1"/>
  <c r="F45" i="1"/>
  <c r="F61" i="1"/>
  <c r="F68" i="1"/>
  <c r="E61" i="1"/>
  <c r="F6" i="3" l="1"/>
  <c r="H40" i="1"/>
  <c r="H32" i="1"/>
  <c r="H43" i="1"/>
  <c r="H36" i="1"/>
  <c r="H63" i="1" s="1"/>
  <c r="H35" i="1"/>
  <c r="I46" i="1"/>
  <c r="K45" i="5"/>
  <c r="K51" i="5" s="1"/>
  <c r="E52" i="2"/>
  <c r="G36" i="1"/>
  <c r="G63" i="1" s="1"/>
  <c r="F52" i="2"/>
  <c r="G40" i="1"/>
  <c r="G64" i="1" s="1"/>
  <c r="G43" i="1"/>
  <c r="G65" i="1" s="1"/>
  <c r="G32" i="1"/>
  <c r="G62" i="1" s="1"/>
  <c r="J34" i="4"/>
  <c r="I10" i="4"/>
  <c r="I42" i="1" s="1"/>
  <c r="J31" i="4"/>
  <c r="K49" i="4"/>
  <c r="M48" i="5" s="1"/>
  <c r="D9" i="1"/>
  <c r="D19" i="2" s="1"/>
  <c r="D20" i="2" s="1"/>
  <c r="D29" i="2" s="1"/>
  <c r="G45" i="3"/>
  <c r="F37" i="3"/>
  <c r="G34" i="3" s="1"/>
  <c r="E29" i="3"/>
  <c r="F26" i="3" s="1"/>
  <c r="F29" i="3" s="1"/>
  <c r="G26" i="3" s="1"/>
  <c r="E18" i="3"/>
  <c r="E4" i="3" s="1"/>
  <c r="D23" i="4"/>
  <c r="D10" i="4" s="1"/>
  <c r="D9" i="4"/>
  <c r="G5" i="2"/>
  <c r="H5" i="2" s="1"/>
  <c r="H42" i="3"/>
  <c r="H25" i="1"/>
  <c r="J17" i="2"/>
  <c r="I8" i="1"/>
  <c r="I25" i="1" s="1"/>
  <c r="F7" i="2"/>
  <c r="F11" i="2" s="1"/>
  <c r="G11" i="2" s="1"/>
  <c r="H11" i="2" s="1"/>
  <c r="I11" i="2" s="1"/>
  <c r="J11" i="2" s="1"/>
  <c r="E8" i="2"/>
  <c r="E58" i="1"/>
  <c r="E9" i="1"/>
  <c r="E19" i="2" s="1"/>
  <c r="E20" i="2" s="1"/>
  <c r="E29" i="2" s="1"/>
  <c r="D11" i="1"/>
  <c r="D22" i="2" s="1"/>
  <c r="H64" i="1" l="1"/>
  <c r="H65" i="1"/>
  <c r="H62" i="1"/>
  <c r="I35" i="1"/>
  <c r="I32" i="1"/>
  <c r="I62" i="1" s="1"/>
  <c r="K46" i="1"/>
  <c r="J46" i="1"/>
  <c r="I36" i="1"/>
  <c r="I63" i="1" s="1"/>
  <c r="I43" i="1"/>
  <c r="I40" i="1"/>
  <c r="I64" i="1" s="1"/>
  <c r="K52" i="5"/>
  <c r="K50" i="5"/>
  <c r="G7" i="2"/>
  <c r="I5" i="2"/>
  <c r="G36" i="2"/>
  <c r="G45" i="2"/>
  <c r="H36" i="2"/>
  <c r="G39" i="2"/>
  <c r="D17" i="1"/>
  <c r="D30" i="2" s="1"/>
  <c r="D10" i="1"/>
  <c r="D23" i="1" s="1"/>
  <c r="J5" i="4"/>
  <c r="J35" i="4"/>
  <c r="J9" i="4" s="1"/>
  <c r="J71" i="1" s="1"/>
  <c r="J8" i="4"/>
  <c r="J22" i="2" s="1"/>
  <c r="E21" i="3"/>
  <c r="E7" i="3" s="1"/>
  <c r="H45" i="3"/>
  <c r="I42" i="3" s="1"/>
  <c r="G37" i="3"/>
  <c r="H34" i="3" s="1"/>
  <c r="G29" i="3"/>
  <c r="H26" i="3" s="1"/>
  <c r="H45" i="2"/>
  <c r="D21" i="2"/>
  <c r="E18" i="4"/>
  <c r="E5" i="4" s="1"/>
  <c r="E21" i="4"/>
  <c r="H39" i="2"/>
  <c r="I36" i="2"/>
  <c r="D23" i="2"/>
  <c r="D26" i="2" s="1"/>
  <c r="D55" i="2" s="1"/>
  <c r="I39" i="2"/>
  <c r="I45" i="2"/>
  <c r="E21" i="2"/>
  <c r="D31" i="2"/>
  <c r="D32" i="2" s="1"/>
  <c r="K17" i="2"/>
  <c r="K8" i="1" s="1"/>
  <c r="J8" i="1"/>
  <c r="J25" i="1" s="1"/>
  <c r="F8" i="2"/>
  <c r="E10" i="1"/>
  <c r="E23" i="1" s="1"/>
  <c r="E17" i="1"/>
  <c r="E30" i="2" s="1"/>
  <c r="E31" i="2" s="1"/>
  <c r="E32" i="2" s="1"/>
  <c r="F58" i="1"/>
  <c r="F9" i="1"/>
  <c r="F19" i="2" s="1"/>
  <c r="F20" i="2" s="1"/>
  <c r="I44" i="1" l="1"/>
  <c r="I65" i="1"/>
  <c r="K40" i="1"/>
  <c r="K64" i="1" s="1"/>
  <c r="J40" i="1"/>
  <c r="J64" i="1" s="1"/>
  <c r="K36" i="1"/>
  <c r="J36" i="1"/>
  <c r="J63" i="1" s="1"/>
  <c r="K32" i="1"/>
  <c r="K62" i="1" s="1"/>
  <c r="J32" i="1"/>
  <c r="J62" i="1" s="1"/>
  <c r="K43" i="1"/>
  <c r="K65" i="1" s="1"/>
  <c r="J43" i="1"/>
  <c r="J65" i="1" s="1"/>
  <c r="K35" i="1"/>
  <c r="J35" i="1"/>
  <c r="K57" i="5"/>
  <c r="D12" i="1"/>
  <c r="H7" i="2"/>
  <c r="G3" i="2"/>
  <c r="G8" i="2"/>
  <c r="J5" i="2"/>
  <c r="D16" i="1"/>
  <c r="D18" i="1" s="1"/>
  <c r="D24" i="1" s="1"/>
  <c r="J36" i="4"/>
  <c r="L47" i="5" s="1"/>
  <c r="F18" i="3"/>
  <c r="F4" i="3" s="1"/>
  <c r="E8" i="3"/>
  <c r="E22" i="4"/>
  <c r="E9" i="4" s="1"/>
  <c r="E71" i="1" s="1"/>
  <c r="E8" i="4"/>
  <c r="E23" i="4"/>
  <c r="I45" i="3"/>
  <c r="J42" i="3" s="1"/>
  <c r="H37" i="3"/>
  <c r="I34" i="3" s="1"/>
  <c r="H29" i="3"/>
  <c r="I26" i="3" s="1"/>
  <c r="J36" i="2"/>
  <c r="D25" i="2"/>
  <c r="K39" i="2"/>
  <c r="J39" i="2"/>
  <c r="D27" i="2"/>
  <c r="K45" i="2"/>
  <c r="J45" i="2"/>
  <c r="K25" i="1"/>
  <c r="F29" i="2"/>
  <c r="F21" i="2"/>
  <c r="F10" i="1"/>
  <c r="F23" i="1" s="1"/>
  <c r="F17" i="1"/>
  <c r="F30" i="2" s="1"/>
  <c r="E16" i="1"/>
  <c r="E18" i="1" s="1"/>
  <c r="D14" i="1"/>
  <c r="K63" i="1" l="1"/>
  <c r="L45" i="5"/>
  <c r="L51" i="5" s="1"/>
  <c r="D54" i="1"/>
  <c r="H8" i="2"/>
  <c r="H3" i="2"/>
  <c r="J7" i="2"/>
  <c r="J3" i="2" s="1"/>
  <c r="J11" i="3" s="1"/>
  <c r="J12" i="3" s="1"/>
  <c r="I7" i="2"/>
  <c r="K5" i="2"/>
  <c r="K3" i="2" s="1"/>
  <c r="K34" i="4"/>
  <c r="J10" i="4"/>
  <c r="J42" i="1" s="1"/>
  <c r="J44" i="1" s="1"/>
  <c r="K31" i="4"/>
  <c r="E24" i="1"/>
  <c r="E54" i="1"/>
  <c r="I29" i="3"/>
  <c r="F21" i="3"/>
  <c r="F7" i="3" s="1"/>
  <c r="F18" i="4"/>
  <c r="F5" i="4" s="1"/>
  <c r="E10" i="4"/>
  <c r="F21" i="4"/>
  <c r="J45" i="3"/>
  <c r="K42" i="3" s="1"/>
  <c r="I37" i="3"/>
  <c r="J34" i="3" s="1"/>
  <c r="K36" i="2"/>
  <c r="E59" i="2"/>
  <c r="D26" i="1"/>
  <c r="F31" i="2"/>
  <c r="F32" i="2" s="1"/>
  <c r="F16" i="1"/>
  <c r="F18" i="1" s="1"/>
  <c r="E11" i="1"/>
  <c r="E22" i="2" s="1"/>
  <c r="E23" i="2" s="1"/>
  <c r="K11" i="3" l="1"/>
  <c r="K12" i="3" s="1"/>
  <c r="K4" i="1"/>
  <c r="L52" i="5"/>
  <c r="L50" i="5"/>
  <c r="I8" i="2"/>
  <c r="I3" i="2"/>
  <c r="I11" i="3" s="1"/>
  <c r="I12" i="3" s="1"/>
  <c r="J8" i="2"/>
  <c r="K8" i="2"/>
  <c r="K5" i="4"/>
  <c r="K35" i="4"/>
  <c r="K9" i="4" s="1"/>
  <c r="K71" i="1" s="1"/>
  <c r="K8" i="4"/>
  <c r="K22" i="2" s="1"/>
  <c r="F24" i="1"/>
  <c r="F54" i="1"/>
  <c r="G18" i="3"/>
  <c r="G4" i="3" s="1"/>
  <c r="F8" i="3"/>
  <c r="K45" i="3"/>
  <c r="J37" i="3"/>
  <c r="F22" i="4"/>
  <c r="F8" i="4"/>
  <c r="E26" i="2"/>
  <c r="E55" i="2" s="1"/>
  <c r="E25" i="2"/>
  <c r="E66" i="1"/>
  <c r="E72" i="1"/>
  <c r="E12" i="1"/>
  <c r="L57" i="5" l="1"/>
  <c r="K36" i="4"/>
  <c r="M47" i="5" s="1"/>
  <c r="G21" i="3"/>
  <c r="F23" i="4"/>
  <c r="F9" i="4"/>
  <c r="F71" i="1" s="1"/>
  <c r="E27" i="2"/>
  <c r="E60" i="2"/>
  <c r="E14" i="1"/>
  <c r="E73" i="1" s="1"/>
  <c r="K10" i="4" l="1"/>
  <c r="K42" i="1" s="1"/>
  <c r="K44" i="1" s="1"/>
  <c r="H18" i="3"/>
  <c r="F10" i="4"/>
  <c r="G18" i="4"/>
  <c r="G21" i="4"/>
  <c r="E26" i="1"/>
  <c r="E61" i="2"/>
  <c r="E62" i="2" s="1"/>
  <c r="F59" i="2" s="1"/>
  <c r="F11" i="1"/>
  <c r="F22" i="2" s="1"/>
  <c r="F23" i="2" s="1"/>
  <c r="E57" i="1"/>
  <c r="E67" i="1" s="1"/>
  <c r="E69" i="1" s="1"/>
  <c r="M45" i="5" l="1"/>
  <c r="M51" i="5" s="1"/>
  <c r="H21" i="3"/>
  <c r="G22" i="4"/>
  <c r="G9" i="4" s="1"/>
  <c r="G71" i="1" s="1"/>
  <c r="G8" i="4"/>
  <c r="G22" i="2" s="1"/>
  <c r="G5" i="4"/>
  <c r="F25" i="2"/>
  <c r="F26" i="2"/>
  <c r="F55" i="2" s="1"/>
  <c r="G55" i="2" s="1"/>
  <c r="H55" i="2" s="1"/>
  <c r="I55" i="2" s="1"/>
  <c r="J55" i="2" s="1"/>
  <c r="K55" i="2" s="1"/>
  <c r="F66" i="1"/>
  <c r="F72" i="1"/>
  <c r="F12" i="1"/>
  <c r="M52" i="5" l="1"/>
  <c r="M50" i="5"/>
  <c r="G23" i="4"/>
  <c r="F27" i="2"/>
  <c r="F60" i="2"/>
  <c r="F14" i="1"/>
  <c r="F73" i="1" s="1"/>
  <c r="G10" i="4" l="1"/>
  <c r="G42" i="1" s="1"/>
  <c r="I46" i="5"/>
  <c r="I45" i="5" s="1"/>
  <c r="M57" i="5"/>
  <c r="H21" i="4"/>
  <c r="H8" i="4" s="1"/>
  <c r="H22" i="2" s="1"/>
  <c r="H18" i="4"/>
  <c r="H5" i="4" s="1"/>
  <c r="G44" i="1"/>
  <c r="F26" i="1"/>
  <c r="F61" i="2"/>
  <c r="F62" i="2" s="1"/>
  <c r="G59" i="2" s="1"/>
  <c r="F57" i="1"/>
  <c r="F67" i="1" s="1"/>
  <c r="F69" i="1" s="1"/>
  <c r="H22" i="4" l="1"/>
  <c r="H9" i="4" s="1"/>
  <c r="H71" i="1" s="1"/>
  <c r="I50" i="5"/>
  <c r="I52" i="5"/>
  <c r="I51" i="5"/>
  <c r="I11" i="1"/>
  <c r="H23" i="4"/>
  <c r="G11" i="1"/>
  <c r="I57" i="5" l="1"/>
  <c r="G72" i="1"/>
  <c r="G66" i="1"/>
  <c r="J46" i="5"/>
  <c r="H10" i="4"/>
  <c r="H42" i="1" s="1"/>
  <c r="H44" i="1" s="1"/>
  <c r="I72" i="1"/>
  <c r="I66" i="1"/>
  <c r="J11" i="1"/>
  <c r="H11" i="1"/>
  <c r="D48" i="1"/>
  <c r="D53" i="1" s="1"/>
  <c r="E48" i="1"/>
  <c r="E53" i="1" s="1"/>
  <c r="F48" i="1"/>
  <c r="F53" i="1" s="1"/>
  <c r="E74" i="1"/>
  <c r="E76" i="1" s="1"/>
  <c r="F74" i="1"/>
  <c r="F76" i="1" s="1"/>
  <c r="J45" i="5" l="1"/>
  <c r="J50" i="5"/>
  <c r="H72" i="1"/>
  <c r="H66" i="1"/>
  <c r="J72" i="1"/>
  <c r="J66" i="1"/>
  <c r="K11" i="1"/>
  <c r="E75" i="1"/>
  <c r="E77" i="1" s="1"/>
  <c r="E78" i="1" s="1"/>
  <c r="D33" i="1"/>
  <c r="K72" i="1" l="1"/>
  <c r="K66" i="1"/>
  <c r="J51" i="5"/>
  <c r="J57" i="5" s="1"/>
  <c r="J52" i="5"/>
  <c r="D38" i="1"/>
  <c r="D49" i="1" s="1"/>
  <c r="D52" i="1"/>
  <c r="F75" i="1"/>
  <c r="F77" i="1" s="1"/>
  <c r="G75" i="1" s="1"/>
  <c r="E33" i="1"/>
  <c r="E38" i="1" l="1"/>
  <c r="E49" i="1" s="1"/>
  <c r="E52" i="1"/>
  <c r="F78" i="1"/>
  <c r="F33" i="1"/>
  <c r="H4" i="1"/>
  <c r="H11" i="3"/>
  <c r="H12" i="3" s="1"/>
  <c r="C56" i="3" s="1"/>
  <c r="H60" i="3" s="1"/>
  <c r="F38" i="1" l="1"/>
  <c r="F49" i="1" s="1"/>
  <c r="F52" i="1"/>
  <c r="H59" i="3"/>
  <c r="I60" i="3"/>
  <c r="K60" i="3"/>
  <c r="J60" i="3"/>
  <c r="G4" i="2"/>
  <c r="G35" i="2"/>
  <c r="G13" i="2"/>
  <c r="G4" i="1"/>
  <c r="H21" i="1" s="1"/>
  <c r="G11" i="3"/>
  <c r="G12" i="3" s="1"/>
  <c r="C48" i="3" s="1"/>
  <c r="G15" i="2"/>
  <c r="G7" i="1" s="1"/>
  <c r="H15" i="2"/>
  <c r="H7" i="1" s="1"/>
  <c r="H4" i="2"/>
  <c r="H35" i="2"/>
  <c r="H30" i="1" s="1"/>
  <c r="H13" i="2"/>
  <c r="K52" i="3" l="1"/>
  <c r="G52" i="3"/>
  <c r="G6" i="3" s="1"/>
  <c r="G19" i="2" s="1"/>
  <c r="G30" i="2" s="1"/>
  <c r="I52" i="3"/>
  <c r="H52" i="3"/>
  <c r="H6" i="3" s="1"/>
  <c r="H19" i="2" s="1"/>
  <c r="H30" i="2" s="1"/>
  <c r="G51" i="3"/>
  <c r="J52" i="3"/>
  <c r="H5" i="3"/>
  <c r="H68" i="1" s="1"/>
  <c r="H61" i="3"/>
  <c r="I58" i="3" s="1"/>
  <c r="I61" i="3" s="1"/>
  <c r="J58" i="3" s="1"/>
  <c r="J61" i="3" s="1"/>
  <c r="K58" i="3" s="1"/>
  <c r="K61" i="3" s="1"/>
  <c r="G30" i="1"/>
  <c r="G59" i="1" s="1"/>
  <c r="H12" i="2"/>
  <c r="G21" i="1"/>
  <c r="G12" i="2"/>
  <c r="H59" i="1" l="1"/>
  <c r="G53" i="3"/>
  <c r="H50" i="3" s="1"/>
  <c r="H53" i="3" s="1"/>
  <c r="I50" i="3" s="1"/>
  <c r="I53" i="3" s="1"/>
  <c r="J50" i="3" s="1"/>
  <c r="J53" i="3" s="1"/>
  <c r="K50" i="3" s="1"/>
  <c r="K53" i="3" s="1"/>
  <c r="G9" i="1"/>
  <c r="G5" i="3"/>
  <c r="G68" i="1" s="1"/>
  <c r="G38" i="2"/>
  <c r="G44" i="2"/>
  <c r="G39" i="1" s="1"/>
  <c r="G61" i="1" s="1"/>
  <c r="G5" i="1"/>
  <c r="G6" i="1" s="1"/>
  <c r="H44" i="2"/>
  <c r="H39" i="1" s="1"/>
  <c r="H5" i="1"/>
  <c r="H6" i="1" s="1"/>
  <c r="H38" i="2"/>
  <c r="H31" i="1" s="1"/>
  <c r="I13" i="2"/>
  <c r="I4" i="1"/>
  <c r="I15" i="2"/>
  <c r="I7" i="1" s="1"/>
  <c r="I4" i="2"/>
  <c r="C64" i="3"/>
  <c r="I35" i="2"/>
  <c r="I30" i="1" s="1"/>
  <c r="I59" i="1" s="1"/>
  <c r="H41" i="1" l="1"/>
  <c r="H45" i="1" s="1"/>
  <c r="H61" i="1"/>
  <c r="G7" i="3"/>
  <c r="G34" i="1" s="1"/>
  <c r="G37" i="1" s="1"/>
  <c r="G20" i="2"/>
  <c r="G29" i="2" s="1"/>
  <c r="G31" i="2" s="1"/>
  <c r="G32" i="2" s="1"/>
  <c r="G17" i="1"/>
  <c r="G58" i="1" s="1"/>
  <c r="M68" i="3"/>
  <c r="I68" i="3"/>
  <c r="I6" i="3" s="1"/>
  <c r="I19" i="2" s="1"/>
  <c r="I30" i="2" s="1"/>
  <c r="L68" i="3"/>
  <c r="H9" i="1"/>
  <c r="H20" i="2"/>
  <c r="I67" i="3"/>
  <c r="I5" i="3" s="1"/>
  <c r="I68" i="1" s="1"/>
  <c r="K68" i="3"/>
  <c r="J68" i="3"/>
  <c r="G22" i="1"/>
  <c r="G10" i="1"/>
  <c r="I5" i="5" s="1"/>
  <c r="I7" i="5" s="1"/>
  <c r="I21" i="1"/>
  <c r="J35" i="2"/>
  <c r="J30" i="1" s="1"/>
  <c r="J59" i="1" s="1"/>
  <c r="J13" i="2"/>
  <c r="J4" i="1"/>
  <c r="J15" i="2"/>
  <c r="J7" i="1" s="1"/>
  <c r="C72" i="3"/>
  <c r="J4" i="2"/>
  <c r="H51" i="2"/>
  <c r="G41" i="1"/>
  <c r="G45" i="1" s="1"/>
  <c r="I12" i="2"/>
  <c r="K4" i="2"/>
  <c r="K35" i="2"/>
  <c r="K30" i="1" s="1"/>
  <c r="K59" i="1" s="1"/>
  <c r="K13" i="2"/>
  <c r="C80" i="3"/>
  <c r="K15" i="2"/>
  <c r="K7" i="1" s="1"/>
  <c r="H22" i="1"/>
  <c r="G31" i="1"/>
  <c r="G60" i="1" s="1"/>
  <c r="G51" i="2"/>
  <c r="G52" i="2" s="1"/>
  <c r="I9" i="5" s="1"/>
  <c r="H60" i="1" l="1"/>
  <c r="H10" i="1"/>
  <c r="J5" i="5" s="1"/>
  <c r="J7" i="5" s="1"/>
  <c r="G23" i="2"/>
  <c r="G24" i="2" s="1"/>
  <c r="G13" i="1" s="1"/>
  <c r="I13" i="5"/>
  <c r="G21" i="2"/>
  <c r="G8" i="3"/>
  <c r="K83" i="3"/>
  <c r="K5" i="3" s="1"/>
  <c r="K68" i="1" s="1"/>
  <c r="L84" i="3"/>
  <c r="M84" i="3"/>
  <c r="N84" i="3"/>
  <c r="K84" i="3"/>
  <c r="K85" i="3" s="1"/>
  <c r="L82" i="3" s="1"/>
  <c r="O84" i="3"/>
  <c r="L76" i="3"/>
  <c r="M76" i="3"/>
  <c r="N76" i="3"/>
  <c r="J76" i="3"/>
  <c r="J6" i="3" s="1"/>
  <c r="J19" i="2" s="1"/>
  <c r="J30" i="2" s="1"/>
  <c r="H7" i="3"/>
  <c r="H34" i="1" s="1"/>
  <c r="H4" i="3"/>
  <c r="J75" i="3"/>
  <c r="J5" i="3" s="1"/>
  <c r="J68" i="1" s="1"/>
  <c r="K76" i="3"/>
  <c r="K6" i="3" s="1"/>
  <c r="K19" i="2" s="1"/>
  <c r="K30" i="2" s="1"/>
  <c r="H21" i="2"/>
  <c r="H23" i="2"/>
  <c r="H24" i="2" s="1"/>
  <c r="H13" i="1" s="1"/>
  <c r="H29" i="2"/>
  <c r="H31" i="2" s="1"/>
  <c r="H32" i="2" s="1"/>
  <c r="I69" i="3"/>
  <c r="H17" i="1"/>
  <c r="H58" i="1" s="1"/>
  <c r="J12" i="2"/>
  <c r="G16" i="1"/>
  <c r="G18" i="1" s="1"/>
  <c r="G23" i="1"/>
  <c r="G12" i="1"/>
  <c r="H52" i="2"/>
  <c r="J9" i="5" s="1"/>
  <c r="H12" i="1"/>
  <c r="H16" i="1"/>
  <c r="K21" i="1"/>
  <c r="I38" i="2"/>
  <c r="I31" i="1" s="1"/>
  <c r="I60" i="1" s="1"/>
  <c r="I44" i="2"/>
  <c r="I39" i="1" s="1"/>
  <c r="I5" i="1"/>
  <c r="I6" i="1" s="1"/>
  <c r="K12" i="2"/>
  <c r="K5" i="1" s="1"/>
  <c r="K6" i="1" s="1"/>
  <c r="J21" i="1"/>
  <c r="I41" i="1" l="1"/>
  <c r="I45" i="1" s="1"/>
  <c r="I61" i="1"/>
  <c r="H23" i="1"/>
  <c r="G26" i="2"/>
  <c r="G27" i="2" s="1"/>
  <c r="G14" i="1"/>
  <c r="J9" i="1"/>
  <c r="I9" i="1"/>
  <c r="I20" i="2"/>
  <c r="J66" i="3"/>
  <c r="L85" i="3"/>
  <c r="H14" i="1"/>
  <c r="H18" i="1"/>
  <c r="H54" i="1" s="1"/>
  <c r="J77" i="3"/>
  <c r="K74" i="3" s="1"/>
  <c r="K77" i="3" s="1"/>
  <c r="L74" i="3" s="1"/>
  <c r="L77" i="3" s="1"/>
  <c r="M74" i="3" s="1"/>
  <c r="M77" i="3" s="1"/>
  <c r="N74" i="3" s="1"/>
  <c r="N77" i="3" s="1"/>
  <c r="H26" i="2"/>
  <c r="H27" i="2" s="1"/>
  <c r="I4" i="3"/>
  <c r="H37" i="1"/>
  <c r="J13" i="5"/>
  <c r="G54" i="1"/>
  <c r="G24" i="1"/>
  <c r="I22" i="1"/>
  <c r="K38" i="2"/>
  <c r="K31" i="1" s="1"/>
  <c r="K60" i="1" s="1"/>
  <c r="K44" i="2"/>
  <c r="K39" i="1" s="1"/>
  <c r="I51" i="2"/>
  <c r="I52" i="2" s="1"/>
  <c r="K9" i="5" s="1"/>
  <c r="J38" i="2"/>
  <c r="J31" i="1" s="1"/>
  <c r="J60" i="1" s="1"/>
  <c r="J44" i="2"/>
  <c r="J39" i="1" s="1"/>
  <c r="J5" i="1"/>
  <c r="J6" i="1" s="1"/>
  <c r="H26" i="1" l="1"/>
  <c r="H57" i="1"/>
  <c r="H67" i="1" s="1"/>
  <c r="H69" i="1" s="1"/>
  <c r="K61" i="1"/>
  <c r="J41" i="1"/>
  <c r="J45" i="1" s="1"/>
  <c r="J61" i="1"/>
  <c r="G26" i="1"/>
  <c r="G57" i="1"/>
  <c r="G67" i="1" s="1"/>
  <c r="G69" i="1" s="1"/>
  <c r="J17" i="1"/>
  <c r="J58" i="1" s="1"/>
  <c r="G60" i="2"/>
  <c r="G56" i="2"/>
  <c r="K41" i="1"/>
  <c r="K45" i="1" s="1"/>
  <c r="H24" i="1"/>
  <c r="K9" i="1"/>
  <c r="M82" i="3"/>
  <c r="M85" i="3" s="1"/>
  <c r="N82" i="3" s="1"/>
  <c r="N85" i="3" s="1"/>
  <c r="J20" i="2"/>
  <c r="I17" i="1"/>
  <c r="I58" i="1" s="1"/>
  <c r="J69" i="3"/>
  <c r="I10" i="1"/>
  <c r="I23" i="2"/>
  <c r="I24" i="2" s="1"/>
  <c r="I13" i="1" s="1"/>
  <c r="I29" i="2"/>
  <c r="I31" i="2" s="1"/>
  <c r="I32" i="2" s="1"/>
  <c r="I21" i="2"/>
  <c r="H56" i="2"/>
  <c r="H60" i="2"/>
  <c r="H8" i="3"/>
  <c r="I7" i="3"/>
  <c r="I34" i="1" s="1"/>
  <c r="K51" i="2"/>
  <c r="K22" i="1"/>
  <c r="J22" i="1"/>
  <c r="J10" i="1"/>
  <c r="L5" i="5" s="1"/>
  <c r="L7" i="5" s="1"/>
  <c r="J51" i="2"/>
  <c r="J52" i="2" s="1"/>
  <c r="L9" i="5" s="1"/>
  <c r="G61" i="2" l="1"/>
  <c r="G73" i="1"/>
  <c r="G74" i="1" s="1"/>
  <c r="G76" i="1"/>
  <c r="G77" i="1" s="1"/>
  <c r="H75" i="1" s="1"/>
  <c r="H76" i="1"/>
  <c r="H61" i="2"/>
  <c r="H73" i="1"/>
  <c r="H74" i="1" s="1"/>
  <c r="K17" i="1"/>
  <c r="K58" i="1" s="1"/>
  <c r="G62" i="2"/>
  <c r="G47" i="1" s="1"/>
  <c r="L13" i="5"/>
  <c r="I16" i="1"/>
  <c r="K5" i="5"/>
  <c r="K7" i="5" s="1"/>
  <c r="K13" i="5" s="1"/>
  <c r="I37" i="1"/>
  <c r="K20" i="2"/>
  <c r="K21" i="2" s="1"/>
  <c r="I18" i="1"/>
  <c r="I24" i="1" s="1"/>
  <c r="K10" i="1"/>
  <c r="I8" i="3"/>
  <c r="I26" i="2"/>
  <c r="I27" i="2" s="1"/>
  <c r="J23" i="2"/>
  <c r="J24" i="2" s="1"/>
  <c r="J13" i="1" s="1"/>
  <c r="J29" i="2"/>
  <c r="J31" i="2" s="1"/>
  <c r="J32" i="2" s="1"/>
  <c r="J21" i="2"/>
  <c r="I23" i="1"/>
  <c r="O82" i="3"/>
  <c r="O85" i="3" s="1"/>
  <c r="K66" i="3"/>
  <c r="I12" i="1"/>
  <c r="I14" i="1" s="1"/>
  <c r="I57" i="1" s="1"/>
  <c r="I67" i="1" s="1"/>
  <c r="I69" i="1" s="1"/>
  <c r="J4" i="3"/>
  <c r="K52" i="2"/>
  <c r="M9" i="5" s="1"/>
  <c r="J16" i="1"/>
  <c r="J18" i="1" s="1"/>
  <c r="J23" i="1"/>
  <c r="J12" i="1"/>
  <c r="H77" i="1" l="1"/>
  <c r="I75" i="1" s="1"/>
  <c r="H59" i="2"/>
  <c r="H62" i="2" s="1"/>
  <c r="I59" i="2" s="1"/>
  <c r="K12" i="1"/>
  <c r="M5" i="5"/>
  <c r="M7" i="5" s="1"/>
  <c r="K29" i="2"/>
  <c r="K31" i="2" s="1"/>
  <c r="K32" i="2" s="1"/>
  <c r="I54" i="1"/>
  <c r="K23" i="2"/>
  <c r="K24" i="2" s="1"/>
  <c r="K13" i="1" s="1"/>
  <c r="K16" i="1"/>
  <c r="K18" i="1" s="1"/>
  <c r="K24" i="1" s="1"/>
  <c r="I26" i="1"/>
  <c r="K23" i="1"/>
  <c r="I56" i="2"/>
  <c r="J26" i="2"/>
  <c r="J27" i="2" s="1"/>
  <c r="I60" i="2"/>
  <c r="J14" i="1"/>
  <c r="K69" i="3"/>
  <c r="K7" i="3" s="1"/>
  <c r="K34" i="1" s="1"/>
  <c r="K4" i="3"/>
  <c r="J7" i="3"/>
  <c r="J34" i="1" s="1"/>
  <c r="G48" i="1"/>
  <c r="G53" i="1" s="1"/>
  <c r="I34" i="5" s="1"/>
  <c r="I35" i="5" s="1"/>
  <c r="J54" i="1"/>
  <c r="J24" i="1"/>
  <c r="I61" i="2" l="1"/>
  <c r="I73" i="1"/>
  <c r="I74" i="1" s="1"/>
  <c r="I76" i="1" s="1"/>
  <c r="I36" i="5"/>
  <c r="I33" i="5"/>
  <c r="J26" i="1"/>
  <c r="J57" i="1"/>
  <c r="J67" i="1" s="1"/>
  <c r="J69" i="1" s="1"/>
  <c r="I77" i="1"/>
  <c r="J75" i="1" s="1"/>
  <c r="H47" i="1"/>
  <c r="H48" i="1" s="1"/>
  <c r="H53" i="1" s="1"/>
  <c r="J34" i="5" s="1"/>
  <c r="J35" i="5" s="1"/>
  <c r="K14" i="1"/>
  <c r="J37" i="1"/>
  <c r="K26" i="2"/>
  <c r="K60" i="2" s="1"/>
  <c r="K54" i="1"/>
  <c r="J56" i="2"/>
  <c r="J60" i="2"/>
  <c r="I62" i="2"/>
  <c r="L66" i="3"/>
  <c r="L69" i="3" s="1"/>
  <c r="M66" i="3" s="1"/>
  <c r="M69" i="3" s="1"/>
  <c r="K26" i="1"/>
  <c r="G29" i="1"/>
  <c r="G78" i="1" s="1"/>
  <c r="J36" i="5" l="1"/>
  <c r="J33" i="5"/>
  <c r="J76" i="1"/>
  <c r="J77" i="1" s="1"/>
  <c r="K75" i="1" s="1"/>
  <c r="J61" i="2"/>
  <c r="J73" i="1"/>
  <c r="J74" i="1" s="1"/>
  <c r="K56" i="2"/>
  <c r="K57" i="1"/>
  <c r="K67" i="1" s="1"/>
  <c r="K69" i="1" s="1"/>
  <c r="I47" i="1"/>
  <c r="I48" i="1" s="1"/>
  <c r="I53" i="1" s="1"/>
  <c r="K34" i="5" s="1"/>
  <c r="K35" i="5" s="1"/>
  <c r="J8" i="3"/>
  <c r="J59" i="2"/>
  <c r="J62" i="2" s="1"/>
  <c r="G33" i="1"/>
  <c r="G52" i="1" s="1"/>
  <c r="K27" i="2"/>
  <c r="K8" i="3"/>
  <c r="K37" i="1"/>
  <c r="H29" i="1"/>
  <c r="H78" i="1" s="1"/>
  <c r="K61" i="2" l="1"/>
  <c r="K73" i="1"/>
  <c r="K74" i="1" s="1"/>
  <c r="K76" i="1" s="1"/>
  <c r="K77" i="1" s="1"/>
  <c r="K36" i="5"/>
  <c r="K33" i="5"/>
  <c r="H33" i="1"/>
  <c r="H38" i="1" s="1"/>
  <c r="H49" i="1" s="1"/>
  <c r="J47" i="1"/>
  <c r="J48" i="1" s="1"/>
  <c r="J53" i="1" s="1"/>
  <c r="L34" i="5" s="1"/>
  <c r="L35" i="5" s="1"/>
  <c r="K59" i="2"/>
  <c r="G38" i="1"/>
  <c r="G49" i="1" s="1"/>
  <c r="L36" i="5" l="1"/>
  <c r="L33" i="5" s="1"/>
  <c r="K62" i="2"/>
  <c r="K47" i="1"/>
  <c r="K48" i="1" s="1"/>
  <c r="K53" i="1" s="1"/>
  <c r="M34" i="5" s="1"/>
  <c r="M35" i="5" s="1"/>
  <c r="I29" i="1"/>
  <c r="I78" i="1" s="1"/>
  <c r="H52" i="1"/>
  <c r="M36" i="5" l="1"/>
  <c r="M33" i="5"/>
  <c r="I33" i="1"/>
  <c r="I38" i="1" s="1"/>
  <c r="I49" i="1" s="1"/>
  <c r="J29" i="1"/>
  <c r="J78" i="1" s="1"/>
  <c r="J7" i="7"/>
  <c r="J23" i="7" s="1"/>
  <c r="I32" i="5"/>
  <c r="I52" i="1" l="1"/>
  <c r="J33" i="1"/>
  <c r="J38" i="1" s="1"/>
  <c r="J49" i="1" s="1"/>
  <c r="K29" i="1"/>
  <c r="K78" i="1" s="1"/>
  <c r="J32" i="5"/>
  <c r="I31" i="5"/>
  <c r="I14" i="5" s="1"/>
  <c r="I15" i="5" s="1"/>
  <c r="J52" i="1" l="1"/>
  <c r="K33" i="1"/>
  <c r="K38" i="1" s="1"/>
  <c r="K49" i="1" s="1"/>
  <c r="K32" i="5"/>
  <c r="J31" i="5"/>
  <c r="J14" i="5" s="1"/>
  <c r="J15" i="5" s="1"/>
  <c r="K52" i="1" l="1"/>
  <c r="L32" i="5"/>
  <c r="K31" i="5"/>
  <c r="K14" i="5" s="1"/>
  <c r="K15" i="5" s="1"/>
  <c r="L31" i="5" l="1"/>
  <c r="L14" i="5" s="1"/>
  <c r="L15" i="5" s="1"/>
  <c r="M32" i="5"/>
  <c r="M31" i="5" s="1"/>
  <c r="M12" i="5" s="1"/>
  <c r="M13" i="5" l="1"/>
  <c r="M14" i="5"/>
  <c r="M15" i="5" l="1"/>
  <c r="I19" i="5" l="1"/>
  <c r="I22" i="5" s="1"/>
  <c r="I24" i="5" s="1"/>
  <c r="F7" i="7" l="1"/>
  <c r="I27" i="5"/>
  <c r="F23" i="7" s="1"/>
</calcChain>
</file>

<file path=xl/sharedStrings.xml><?xml version="1.0" encoding="utf-8"?>
<sst xmlns="http://schemas.openxmlformats.org/spreadsheetml/2006/main" count="309" uniqueCount="180">
  <si>
    <t>Income Statement</t>
  </si>
  <si>
    <t>COGS</t>
  </si>
  <si>
    <t>Gross Profit</t>
  </si>
  <si>
    <t>EBIT</t>
  </si>
  <si>
    <t>Tax Expense</t>
  </si>
  <si>
    <t>EBT</t>
  </si>
  <si>
    <t>Interest Expense</t>
  </si>
  <si>
    <t>Net Income</t>
  </si>
  <si>
    <t>Selling Expenses</t>
  </si>
  <si>
    <t>Administrative Expenses</t>
  </si>
  <si>
    <t>N/A</t>
  </si>
  <si>
    <t>% EBIT Margin</t>
  </si>
  <si>
    <t>% Net Profit Margin</t>
  </si>
  <si>
    <t>% Gross Profit Margin</t>
  </si>
  <si>
    <t>Balance Sheet</t>
  </si>
  <si>
    <t>Cash and Cash Equivalent</t>
  </si>
  <si>
    <t>Account Receivables</t>
  </si>
  <si>
    <t>Inventory</t>
  </si>
  <si>
    <t>Other Current Assets</t>
  </si>
  <si>
    <t>Total Current Assets</t>
  </si>
  <si>
    <t>PP&amp;E</t>
  </si>
  <si>
    <t>Intangible Assets</t>
  </si>
  <si>
    <t>Other Non-current Assets</t>
  </si>
  <si>
    <t>Total Assets</t>
  </si>
  <si>
    <t>Total Non-current Assets</t>
  </si>
  <si>
    <t>Account Payables</t>
  </si>
  <si>
    <t>Other Current Liabilities</t>
  </si>
  <si>
    <t>Long-term Loan</t>
  </si>
  <si>
    <t>Non-current Liabilities</t>
  </si>
  <si>
    <t>Total Non-current Liabilities</t>
  </si>
  <si>
    <t>Total Current Liabilities</t>
  </si>
  <si>
    <t>Total Liabilities</t>
  </si>
  <si>
    <t>Share Capital</t>
  </si>
  <si>
    <t>Retained Earnings</t>
  </si>
  <si>
    <t>Total Shareholders Equity</t>
  </si>
  <si>
    <t>Account Receivable Turnover</t>
  </si>
  <si>
    <t>Account Receivable Days</t>
  </si>
  <si>
    <t>Inventory Turnover</t>
  </si>
  <si>
    <t>Inventory Days</t>
  </si>
  <si>
    <t>Account Payable Turnover</t>
  </si>
  <si>
    <t>Account Payable Days</t>
  </si>
  <si>
    <t>Cash Flow Statement</t>
  </si>
  <si>
    <t>(+) Depreciation and Amortization</t>
  </si>
  <si>
    <t>(+/-) Change in A/R</t>
  </si>
  <si>
    <t>(+/-) Change in Inventory</t>
  </si>
  <si>
    <t>(+/-) Change in A/P</t>
  </si>
  <si>
    <t>(+/-) Change in Other Current Assets</t>
  </si>
  <si>
    <t>(+/-) Change in Other Non-current Assets</t>
  </si>
  <si>
    <t>(+/-) Change in Other Current Liabilities</t>
  </si>
  <si>
    <t>(+/-) Change in Other Non-current Liabilities</t>
  </si>
  <si>
    <t>PP&amp;E Schedule</t>
  </si>
  <si>
    <t>Beginning</t>
  </si>
  <si>
    <t>Capex</t>
  </si>
  <si>
    <t>Depreciation</t>
  </si>
  <si>
    <t>Ending PP&amp;E</t>
  </si>
  <si>
    <t>Depreciation Period</t>
  </si>
  <si>
    <t>Ending</t>
  </si>
  <si>
    <t>2016 PP&amp;E</t>
  </si>
  <si>
    <t>2017 PP&amp;E</t>
  </si>
  <si>
    <t>2018 PP&amp;E</t>
  </si>
  <si>
    <t>2019 PP&amp;E</t>
  </si>
  <si>
    <t>Check</t>
  </si>
  <si>
    <t>Operating Cash Flows</t>
  </si>
  <si>
    <t>Free Cash Flows</t>
  </si>
  <si>
    <t>Debt Issuance</t>
  </si>
  <si>
    <t>Debt Repayment</t>
  </si>
  <si>
    <t>Dividend Paid</t>
  </si>
  <si>
    <t>Financing Cash Flows</t>
  </si>
  <si>
    <t>Beginning Cash Flow</t>
  </si>
  <si>
    <t>Net Change in Cash Flow</t>
  </si>
  <si>
    <t>Ending Cash Flow</t>
  </si>
  <si>
    <t>Debt Schedule</t>
  </si>
  <si>
    <t>Beginning Balance</t>
  </si>
  <si>
    <t>Installment</t>
  </si>
  <si>
    <t>Principal Repayment</t>
  </si>
  <si>
    <t>Ending Balance</t>
  </si>
  <si>
    <t>Debt Amount</t>
  </si>
  <si>
    <t>Tenor</t>
  </si>
  <si>
    <t>Interest Rate</t>
  </si>
  <si>
    <t>Dividend Payout Ratio</t>
  </si>
  <si>
    <t>NWC</t>
  </si>
  <si>
    <t>Beginning Retained Earnings</t>
  </si>
  <si>
    <t>Ending Retained Earnings</t>
  </si>
  <si>
    <t>Dividend Payment</t>
  </si>
  <si>
    <t>DA</t>
  </si>
  <si>
    <t>% EBITDA Margin</t>
  </si>
  <si>
    <t>EBITDA</t>
  </si>
  <si>
    <t>Selling Price</t>
  </si>
  <si>
    <t>Quantity Sold</t>
  </si>
  <si>
    <t>% Growth</t>
  </si>
  <si>
    <t>Total Revenue</t>
  </si>
  <si>
    <t>% to Total Revenue</t>
  </si>
  <si>
    <t>% Tax Rate</t>
  </si>
  <si>
    <t>Net Profit</t>
  </si>
  <si>
    <t>Key Performance Ratios</t>
  </si>
  <si>
    <t xml:space="preserve">% Revenue Growth </t>
  </si>
  <si>
    <t>% GPM</t>
  </si>
  <si>
    <t>% Net Profit Growth</t>
  </si>
  <si>
    <t>% NPM</t>
  </si>
  <si>
    <t>FCFF</t>
  </si>
  <si>
    <t>Change in NWC</t>
  </si>
  <si>
    <t>Tax Rate</t>
  </si>
  <si>
    <t>EBIT*(1-Tax)</t>
  </si>
  <si>
    <t>FCFF Method</t>
  </si>
  <si>
    <t>Rm</t>
  </si>
  <si>
    <t>Rf</t>
  </si>
  <si>
    <t>Kd</t>
  </si>
  <si>
    <t>Beta</t>
  </si>
  <si>
    <t>Risk Premium</t>
  </si>
  <si>
    <t>Ke</t>
  </si>
  <si>
    <t>WACC</t>
  </si>
  <si>
    <t>We</t>
  </si>
  <si>
    <t>IBD/E</t>
  </si>
  <si>
    <t>IBD/Equity</t>
  </si>
  <si>
    <t>Key Ratios</t>
  </si>
  <si>
    <t>Wd</t>
  </si>
  <si>
    <t>Discount Rate</t>
  </si>
  <si>
    <t>Terminal Value</t>
  </si>
  <si>
    <t>Terminal Growth Rate</t>
  </si>
  <si>
    <t>Total FCFF</t>
  </si>
  <si>
    <t>PV</t>
  </si>
  <si>
    <t>2019 Debt</t>
  </si>
  <si>
    <t>2019 Cash</t>
  </si>
  <si>
    <t>Equity Value</t>
  </si>
  <si>
    <t>Enterprise Value</t>
  </si>
  <si>
    <t>Number of Shares</t>
  </si>
  <si>
    <t>Fair Price</t>
  </si>
  <si>
    <t>2017 Term Loan</t>
  </si>
  <si>
    <t>Total Term Loan</t>
  </si>
  <si>
    <t>2020 PP&amp;E</t>
  </si>
  <si>
    <t>2021 PP&amp;E</t>
  </si>
  <si>
    <t>2022 PP&amp;E</t>
  </si>
  <si>
    <t>2023 PP&amp;E</t>
  </si>
  <si>
    <t>2024 PP&amp;E</t>
  </si>
  <si>
    <t>IBD/EBITDA</t>
  </si>
  <si>
    <t>Current Ratio</t>
  </si>
  <si>
    <t>(+) Interest Expense</t>
  </si>
  <si>
    <t>Step</t>
  </si>
  <si>
    <t>Building income statement</t>
  </si>
  <si>
    <t>Project net working capital</t>
  </si>
  <si>
    <t>Project PP&amp;E</t>
  </si>
  <si>
    <t>Project debt schedule</t>
  </si>
  <si>
    <t>Project other items in balance sheet</t>
  </si>
  <si>
    <t>Building balance sheet (except Cash)</t>
  </si>
  <si>
    <t>Building cash flow statement</t>
  </si>
  <si>
    <t>Calculate FCFF &amp; WACC</t>
  </si>
  <si>
    <t>Run sensitivity</t>
  </si>
  <si>
    <t>Dummy WACC</t>
  </si>
  <si>
    <t>Dummy Terminal Growth Rate</t>
  </si>
  <si>
    <t>Moving WACC</t>
  </si>
  <si>
    <t>Constant WACC</t>
  </si>
  <si>
    <t>1: Constant, 2: Moving</t>
  </si>
  <si>
    <t>Market Price</t>
  </si>
  <si>
    <t>% Upside (Downside)</t>
  </si>
  <si>
    <t>Period</t>
  </si>
  <si>
    <t>2021 Unsecured Bond</t>
  </si>
  <si>
    <t>Maintenance Capex</t>
  </si>
  <si>
    <t>% Implied Market Share</t>
  </si>
  <si>
    <t>Income Statement (In THB MM)</t>
  </si>
  <si>
    <t>Market Size (In Units)</t>
  </si>
  <si>
    <t>Total Capex</t>
  </si>
  <si>
    <t>WACC and Ke Calculation</t>
  </si>
  <si>
    <t>2017 Ending Balance</t>
  </si>
  <si>
    <t>2021 Ending Balance</t>
  </si>
  <si>
    <t>2020 Term Loan</t>
  </si>
  <si>
    <t>2020 Ending Balance</t>
  </si>
  <si>
    <t>Debt Balance</t>
  </si>
  <si>
    <t>Cost of Debt</t>
  </si>
  <si>
    <t>2017 Kd</t>
  </si>
  <si>
    <t>2020 Kd</t>
  </si>
  <si>
    <t>2021 Kd</t>
  </si>
  <si>
    <t>% Debt Balance</t>
  </si>
  <si>
    <t>% 2017 Ending Balance</t>
  </si>
  <si>
    <t>% 2020 Ending Balance</t>
  </si>
  <si>
    <t>% 2021 Ending Balance</t>
  </si>
  <si>
    <t>Weighted Kd</t>
  </si>
  <si>
    <t>Target Kd</t>
  </si>
  <si>
    <t xml:space="preserve">2. In DCF sheet, please make sure that the terminal growth rate in cell "M12" is linked from cell "C17" </t>
  </si>
  <si>
    <t xml:space="preserve">Note: In order to run the sensitivity analysis, </t>
  </si>
  <si>
    <t>1. In DCF sheet, please change the value in cell "C31" to "1" and keep in mind that the present value is now calculated based on the constant WACC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</si>
</sst>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0\A"/>
    <numFmt numFmtId="165" formatCode="0\E"/>
    <numFmt numFmtId="166" formatCode="0.0%"/>
    <numFmt numFmtId="167" formatCode="#,##0.0"/>
    <numFmt numFmtId="168" formatCode="0.0"/>
    <numFmt numFmtId="169" formatCode="#,##0.0_);\(#,##0.0\)"/>
    <numFmt numFmtId="170" formatCode="0.0_);\(0.0\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800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darkUp">
        <bgColor theme="0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0" fillId="2" borderId="0" xfId="0" applyFill="1"/>
    <xf numFmtId="0" fontId="2" fillId="2" borderId="0" xfId="0" applyFont="1" applyFill="1"/>
    <xf numFmtId="164" fontId="2" fillId="2" borderId="0" xfId="0" applyNumberFormat="1" applyFont="1" applyFill="1"/>
    <xf numFmtId="165" fontId="2" fillId="2" borderId="0" xfId="0" applyNumberFormat="1" applyFont="1" applyFill="1"/>
    <xf numFmtId="9" fontId="0" fillId="2" borderId="0" xfId="0" applyNumberFormat="1" applyFill="1"/>
    <xf numFmtId="0" fontId="2" fillId="2" borderId="1" xfId="0" applyFont="1" applyFill="1" applyBorder="1"/>
    <xf numFmtId="166" fontId="0" fillId="2" borderId="0" xfId="2" applyNumberFormat="1" applyFont="1" applyFill="1"/>
    <xf numFmtId="166" fontId="0" fillId="2" borderId="0" xfId="2" applyNumberFormat="1" applyFont="1" applyFill="1" applyAlignment="1">
      <alignment horizontal="right"/>
    </xf>
    <xf numFmtId="166" fontId="0" fillId="2" borderId="0" xfId="0" applyNumberFormat="1" applyFill="1"/>
    <xf numFmtId="0" fontId="0" fillId="2" borderId="0" xfId="0" applyFill="1" applyAlignment="1">
      <alignment horizontal="right"/>
    </xf>
    <xf numFmtId="167" fontId="0" fillId="2" borderId="0" xfId="0" applyNumberFormat="1" applyFill="1"/>
    <xf numFmtId="0" fontId="2" fillId="2" borderId="2" xfId="0" applyFont="1" applyFill="1" applyBorder="1"/>
    <xf numFmtId="37" fontId="0" fillId="2" borderId="0" xfId="0" applyNumberFormat="1" applyFill="1"/>
    <xf numFmtId="168" fontId="0" fillId="2" borderId="0" xfId="0" applyNumberFormat="1" applyFill="1"/>
    <xf numFmtId="0" fontId="0" fillId="2" borderId="0" xfId="0" applyFill="1" applyAlignment="1">
      <alignment horizontal="left" indent="1"/>
    </xf>
    <xf numFmtId="169" fontId="0" fillId="2" borderId="0" xfId="0" applyNumberFormat="1" applyFill="1"/>
    <xf numFmtId="169" fontId="2" fillId="2" borderId="1" xfId="0" applyNumberFormat="1" applyFont="1" applyFill="1" applyBorder="1"/>
    <xf numFmtId="169" fontId="2" fillId="2" borderId="2" xfId="0" applyNumberFormat="1" applyFont="1" applyFill="1" applyBorder="1"/>
    <xf numFmtId="169" fontId="3" fillId="2" borderId="0" xfId="0" applyNumberFormat="1" applyFont="1" applyFill="1"/>
    <xf numFmtId="43" fontId="0" fillId="2" borderId="0" xfId="1" applyFont="1" applyFill="1"/>
    <xf numFmtId="0" fontId="0" fillId="2" borderId="0" xfId="0" applyFont="1" applyFill="1"/>
    <xf numFmtId="0" fontId="2" fillId="2" borderId="0" xfId="0" applyFont="1" applyFill="1" applyBorder="1"/>
    <xf numFmtId="168" fontId="2" fillId="2" borderId="0" xfId="0" applyNumberFormat="1" applyFont="1" applyFill="1" applyBorder="1"/>
    <xf numFmtId="169" fontId="0" fillId="2" borderId="0" xfId="0" applyNumberFormat="1" applyFill="1" applyAlignment="1">
      <alignment horizontal="right"/>
    </xf>
    <xf numFmtId="169" fontId="2" fillId="2" borderId="0" xfId="0" applyNumberFormat="1" applyFont="1" applyFill="1"/>
    <xf numFmtId="169" fontId="4" fillId="2" borderId="0" xfId="2" applyNumberFormat="1" applyFont="1" applyFill="1" applyAlignment="1">
      <alignment horizontal="right"/>
    </xf>
    <xf numFmtId="169" fontId="5" fillId="2" borderId="0" xfId="2" applyNumberFormat="1" applyFont="1" applyFill="1" applyAlignment="1">
      <alignment horizontal="right"/>
    </xf>
    <xf numFmtId="169" fontId="2" fillId="2" borderId="0" xfId="2" applyNumberFormat="1" applyFont="1" applyFill="1" applyAlignment="1">
      <alignment horizontal="right"/>
    </xf>
    <xf numFmtId="37" fontId="0" fillId="2" borderId="0" xfId="0" applyNumberFormat="1" applyFont="1" applyFill="1"/>
    <xf numFmtId="169" fontId="7" fillId="2" borderId="0" xfId="2" applyNumberFormat="1" applyFont="1" applyFill="1" applyAlignment="1">
      <alignment horizontal="right"/>
    </xf>
    <xf numFmtId="167" fontId="4" fillId="2" borderId="0" xfId="0" applyNumberFormat="1" applyFont="1" applyFill="1"/>
    <xf numFmtId="169" fontId="4" fillId="2" borderId="0" xfId="0" applyNumberFormat="1" applyFont="1" applyFill="1"/>
    <xf numFmtId="166" fontId="1" fillId="2" borderId="0" xfId="2" applyNumberFormat="1" applyFont="1" applyFill="1"/>
    <xf numFmtId="0" fontId="0" fillId="2" borderId="0" xfId="0" applyFont="1" applyFill="1" applyAlignment="1">
      <alignment horizontal="left" indent="1"/>
    </xf>
    <xf numFmtId="169" fontId="0" fillId="2" borderId="0" xfId="0" applyNumberFormat="1" applyFont="1" applyFill="1"/>
    <xf numFmtId="169" fontId="6" fillId="2" borderId="1" xfId="2" applyNumberFormat="1" applyFont="1" applyFill="1" applyBorder="1" applyAlignment="1">
      <alignment horizontal="right"/>
    </xf>
    <xf numFmtId="0" fontId="0" fillId="2" borderId="5" xfId="0" applyFill="1" applyBorder="1" applyAlignment="1">
      <alignment horizontal="left" indent="1"/>
    </xf>
    <xf numFmtId="166" fontId="0" fillId="2" borderId="5" xfId="2" applyNumberFormat="1" applyFont="1" applyFill="1" applyBorder="1"/>
    <xf numFmtId="0" fontId="0" fillId="2" borderId="0" xfId="0" applyFill="1" applyAlignment="1">
      <alignment horizontal="left" indent="2"/>
    </xf>
    <xf numFmtId="169" fontId="6" fillId="2" borderId="1" xfId="0" applyNumberFormat="1" applyFont="1" applyFill="1" applyBorder="1"/>
    <xf numFmtId="2" fontId="0" fillId="2" borderId="0" xfId="0" applyNumberFormat="1" applyFill="1"/>
    <xf numFmtId="166" fontId="2" fillId="2" borderId="0" xfId="2" applyNumberFormat="1" applyFont="1" applyFill="1"/>
    <xf numFmtId="39" fontId="0" fillId="2" borderId="0" xfId="0" applyNumberFormat="1" applyFill="1"/>
    <xf numFmtId="169" fontId="2" fillId="2" borderId="0" xfId="0" applyNumberFormat="1" applyFont="1" applyFill="1" applyBorder="1"/>
    <xf numFmtId="169" fontId="3" fillId="3" borderId="3" xfId="0" applyNumberFormat="1" applyFont="1" applyFill="1" applyBorder="1"/>
    <xf numFmtId="166" fontId="3" fillId="3" borderId="3" xfId="2" applyNumberFormat="1" applyFont="1" applyFill="1" applyBorder="1"/>
    <xf numFmtId="168" fontId="3" fillId="3" borderId="3" xfId="0" applyNumberFormat="1" applyFont="1" applyFill="1" applyBorder="1"/>
    <xf numFmtId="0" fontId="0" fillId="2" borderId="0" xfId="0" applyFont="1" applyFill="1" applyBorder="1" applyAlignment="1">
      <alignment horizontal="left" indent="1"/>
    </xf>
    <xf numFmtId="166" fontId="1" fillId="2" borderId="0" xfId="2" applyNumberFormat="1" applyFont="1" applyFill="1" applyBorder="1"/>
    <xf numFmtId="0" fontId="0" fillId="2" borderId="0" xfId="0" applyFont="1" applyFill="1" applyAlignment="1">
      <alignment horizontal="left" indent="2"/>
    </xf>
    <xf numFmtId="169" fontId="0" fillId="2" borderId="2" xfId="0" applyNumberFormat="1" applyFill="1" applyBorder="1"/>
    <xf numFmtId="37" fontId="3" fillId="3" borderId="3" xfId="0" applyNumberFormat="1" applyFont="1" applyFill="1" applyBorder="1"/>
    <xf numFmtId="170" fontId="0" fillId="2" borderId="0" xfId="0" applyNumberFormat="1" applyFont="1" applyFill="1"/>
    <xf numFmtId="170" fontId="0" fillId="2" borderId="0" xfId="0" applyNumberFormat="1" applyFill="1"/>
    <xf numFmtId="166" fontId="3" fillId="3" borderId="4" xfId="2" applyNumberFormat="1" applyFont="1" applyFill="1" applyBorder="1"/>
    <xf numFmtId="169" fontId="3" fillId="3" borderId="3" xfId="2" applyNumberFormat="1" applyFont="1" applyFill="1" applyBorder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4" borderId="0" xfId="0" applyFill="1"/>
    <xf numFmtId="166" fontId="7" fillId="2" borderId="0" xfId="2" applyNumberFormat="1" applyFont="1" applyFill="1" applyBorder="1"/>
    <xf numFmtId="168" fontId="7" fillId="2" borderId="0" xfId="0" applyNumberFormat="1" applyFont="1" applyFill="1" applyBorder="1"/>
    <xf numFmtId="0" fontId="2" fillId="2" borderId="0" xfId="0" quotePrefix="1" applyFont="1" applyFill="1"/>
    <xf numFmtId="166" fontId="0" fillId="2" borderId="0" xfId="2" applyNumberFormat="1" applyFont="1" applyFill="1" applyBorder="1"/>
    <xf numFmtId="166" fontId="2" fillId="2" borderId="2" xfId="0" applyNumberFormat="1" applyFont="1" applyFill="1" applyBorder="1"/>
    <xf numFmtId="166" fontId="2" fillId="2" borderId="2" xfId="2" applyNumberFormat="1" applyFont="1" applyFill="1" applyBorder="1"/>
    <xf numFmtId="166" fontId="2" fillId="2" borderId="7" xfId="0" applyNumberFormat="1" applyFont="1" applyFill="1" applyBorder="1"/>
    <xf numFmtId="166" fontId="2" fillId="2" borderId="0" xfId="2" applyNumberFormat="1" applyFont="1" applyFill="1" applyBorder="1"/>
    <xf numFmtId="169" fontId="3" fillId="2" borderId="3" xfId="0" applyNumberFormat="1" applyFont="1" applyFill="1" applyBorder="1"/>
    <xf numFmtId="169" fontId="5" fillId="2" borderId="2" xfId="0" applyNumberFormat="1" applyFont="1" applyFill="1" applyBorder="1"/>
    <xf numFmtId="169" fontId="8" fillId="2" borderId="2" xfId="0" applyNumberFormat="1" applyFont="1" applyFill="1" applyBorder="1"/>
    <xf numFmtId="0" fontId="0" fillId="2" borderId="0" xfId="0" applyFill="1" applyAlignment="1">
      <alignment horizontal="left" indent="3"/>
    </xf>
    <xf numFmtId="167" fontId="2" fillId="2" borderId="1" xfId="0" applyNumberFormat="1" applyFont="1" applyFill="1" applyBorder="1"/>
    <xf numFmtId="0" fontId="2" fillId="5" borderId="0" xfId="0" applyFont="1" applyFill="1"/>
    <xf numFmtId="164" fontId="2" fillId="5" borderId="0" xfId="0" applyNumberFormat="1" applyFont="1" applyFill="1"/>
    <xf numFmtId="165" fontId="2" fillId="5" borderId="0" xfId="0" applyNumberFormat="1" applyFont="1" applyFill="1"/>
    <xf numFmtId="166" fontId="5" fillId="2" borderId="0" xfId="0" applyNumberFormat="1" applyFont="1" applyFill="1"/>
    <xf numFmtId="0" fontId="0" fillId="5" borderId="0" xfId="0" applyFill="1"/>
    <xf numFmtId="0" fontId="2" fillId="5" borderId="0" xfId="0" applyFont="1" applyFill="1" applyBorder="1"/>
    <xf numFmtId="169" fontId="2" fillId="5" borderId="0" xfId="0" applyNumberFormat="1" applyFont="1" applyFill="1"/>
    <xf numFmtId="169" fontId="0" fillId="6" borderId="0" xfId="0" applyNumberFormat="1" applyFill="1"/>
    <xf numFmtId="0" fontId="8" fillId="3" borderId="3" xfId="0" applyFont="1" applyFill="1" applyBorder="1"/>
    <xf numFmtId="166" fontId="8" fillId="3" borderId="3" xfId="2" applyNumberFormat="1" applyFont="1" applyFill="1" applyBorder="1"/>
    <xf numFmtId="169" fontId="0" fillId="2" borderId="3" xfId="0" applyNumberFormat="1" applyFill="1" applyBorder="1"/>
    <xf numFmtId="166" fontId="0" fillId="2" borderId="3" xfId="2" applyNumberFormat="1" applyFont="1" applyFill="1" applyBorder="1"/>
    <xf numFmtId="169" fontId="2" fillId="2" borderId="3" xfId="0" applyNumberFormat="1" applyFont="1" applyFill="1" applyBorder="1"/>
    <xf numFmtId="169" fontId="0" fillId="2" borderId="4" xfId="0" applyNumberFormat="1" applyFill="1" applyBorder="1"/>
    <xf numFmtId="169" fontId="2" fillId="2" borderId="9" xfId="0" applyNumberFormat="1" applyFont="1" applyFill="1" applyBorder="1"/>
    <xf numFmtId="169" fontId="2" fillId="2" borderId="10" xfId="0" applyNumberFormat="1" applyFont="1" applyFill="1" applyBorder="1"/>
    <xf numFmtId="169" fontId="0" fillId="2" borderId="11" xfId="0" applyNumberFormat="1" applyFill="1" applyBorder="1"/>
    <xf numFmtId="169" fontId="2" fillId="2" borderId="8" xfId="0" applyNumberFormat="1" applyFont="1" applyFill="1" applyBorder="1"/>
    <xf numFmtId="169" fontId="4" fillId="2" borderId="3" xfId="2" applyNumberFormat="1" applyFont="1" applyFill="1" applyBorder="1" applyAlignment="1">
      <alignment horizontal="right"/>
    </xf>
    <xf numFmtId="169" fontId="4" fillId="2" borderId="4" xfId="2" applyNumberFormat="1" applyFont="1" applyFill="1" applyBorder="1" applyAlignment="1">
      <alignment horizontal="right"/>
    </xf>
    <xf numFmtId="169" fontId="4" fillId="2" borderId="3" xfId="0" applyNumberFormat="1" applyFont="1" applyFill="1" applyBorder="1"/>
    <xf numFmtId="169" fontId="8" fillId="2" borderId="0" xfId="0" applyNumberFormat="1" applyFont="1" applyFill="1" applyBorder="1"/>
    <xf numFmtId="166" fontId="1" fillId="2" borderId="3" xfId="2" applyNumberFormat="1" applyFont="1" applyFill="1" applyBorder="1"/>
    <xf numFmtId="169" fontId="0" fillId="2" borderId="9" xfId="0" applyNumberFormat="1" applyFill="1" applyBorder="1"/>
    <xf numFmtId="166" fontId="7" fillId="2" borderId="0" xfId="2" applyNumberFormat="1" applyFont="1" applyFill="1"/>
    <xf numFmtId="169" fontId="7" fillId="2" borderId="4" xfId="2" applyNumberFormat="1" applyFont="1" applyFill="1" applyBorder="1" applyAlignment="1">
      <alignment horizontal="right"/>
    </xf>
    <xf numFmtId="166" fontId="6" fillId="2" borderId="0" xfId="2" applyNumberFormat="1" applyFont="1" applyFill="1" applyBorder="1"/>
    <xf numFmtId="0" fontId="7" fillId="2" borderId="0" xfId="0" quotePrefix="1" applyFont="1" applyFill="1"/>
    <xf numFmtId="0" fontId="2" fillId="2" borderId="0" xfId="0" applyFont="1" applyFill="1" applyAlignment="1">
      <alignment horizontal="center"/>
    </xf>
    <xf numFmtId="0" fontId="2" fillId="2" borderId="6" xfId="0" applyFont="1" applyFill="1" applyBorder="1" applyAlignment="1">
      <alignment horizontal="right" vertical="center" textRotation="90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11"/>
  <sheetViews>
    <sheetView workbookViewId="0">
      <selection activeCell="H39" sqref="H39"/>
    </sheetView>
  </sheetViews>
  <sheetFormatPr defaultRowHeight="15" x14ac:dyDescent="0.25"/>
  <cols>
    <col min="1" max="1" width="9.140625" style="1"/>
    <col min="2" max="2" width="5" style="1" bestFit="1" customWidth="1"/>
    <col min="3" max="16384" width="9.140625" style="1"/>
  </cols>
  <sheetData>
    <row r="2" spans="2:3" x14ac:dyDescent="0.25">
      <c r="B2" s="58" t="s">
        <v>137</v>
      </c>
    </row>
    <row r="3" spans="2:3" x14ac:dyDescent="0.25">
      <c r="B3" s="57">
        <v>1</v>
      </c>
      <c r="C3" s="1" t="s">
        <v>138</v>
      </c>
    </row>
    <row r="4" spans="2:3" x14ac:dyDescent="0.25">
      <c r="B4" s="57">
        <f>+B3+1</f>
        <v>2</v>
      </c>
      <c r="C4" s="1" t="s">
        <v>139</v>
      </c>
    </row>
    <row r="5" spans="2:3" x14ac:dyDescent="0.25">
      <c r="B5" s="57">
        <f t="shared" ref="B5:B11" si="0">+B4+1</f>
        <v>3</v>
      </c>
      <c r="C5" s="1" t="s">
        <v>140</v>
      </c>
    </row>
    <row r="6" spans="2:3" x14ac:dyDescent="0.25">
      <c r="B6" s="57">
        <f t="shared" si="0"/>
        <v>4</v>
      </c>
      <c r="C6" s="1" t="s">
        <v>141</v>
      </c>
    </row>
    <row r="7" spans="2:3" x14ac:dyDescent="0.25">
      <c r="B7" s="57">
        <f t="shared" si="0"/>
        <v>5</v>
      </c>
      <c r="C7" s="1" t="s">
        <v>142</v>
      </c>
    </row>
    <row r="8" spans="2:3" x14ac:dyDescent="0.25">
      <c r="B8" s="57">
        <f t="shared" si="0"/>
        <v>6</v>
      </c>
      <c r="C8" s="1" t="s">
        <v>143</v>
      </c>
    </row>
    <row r="9" spans="2:3" x14ac:dyDescent="0.25">
      <c r="B9" s="57">
        <f t="shared" si="0"/>
        <v>7</v>
      </c>
      <c r="C9" s="1" t="s">
        <v>144</v>
      </c>
    </row>
    <row r="10" spans="2:3" x14ac:dyDescent="0.25">
      <c r="B10" s="57">
        <f t="shared" si="0"/>
        <v>8</v>
      </c>
      <c r="C10" s="1" t="s">
        <v>145</v>
      </c>
    </row>
    <row r="11" spans="2:3" x14ac:dyDescent="0.25">
      <c r="B11" s="57">
        <f t="shared" si="0"/>
        <v>9</v>
      </c>
      <c r="C11" s="1" t="s">
        <v>146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62"/>
  <sheetViews>
    <sheetView zoomScale="130" zoomScaleNormal="130" workbookViewId="0">
      <pane xSplit="3" ySplit="2" topLeftCell="D48" activePane="bottomRight" state="frozen"/>
      <selection pane="topRight" activeCell="D1" sqref="D1"/>
      <selection pane="bottomLeft" activeCell="A3" sqref="A3"/>
      <selection pane="bottomRight" activeCell="D58" sqref="D58"/>
    </sheetView>
  </sheetViews>
  <sheetFormatPr defaultRowHeight="15" x14ac:dyDescent="0.25"/>
  <cols>
    <col min="1" max="1" width="4" style="1" customWidth="1"/>
    <col min="2" max="2" width="29.42578125" style="1" bestFit="1" customWidth="1"/>
    <col min="3" max="3" width="2.85546875" style="1" customWidth="1"/>
    <col min="4" max="16384" width="9.140625" style="1"/>
  </cols>
  <sheetData>
    <row r="2" spans="1:12" x14ac:dyDescent="0.25">
      <c r="A2" s="2">
        <v>1</v>
      </c>
      <c r="B2" s="2" t="s">
        <v>158</v>
      </c>
      <c r="C2" s="3"/>
      <c r="D2" s="3">
        <v>2017</v>
      </c>
      <c r="E2" s="3">
        <f t="shared" ref="E2:K2" si="0">+D2+1</f>
        <v>2018</v>
      </c>
      <c r="F2" s="3">
        <f t="shared" si="0"/>
        <v>2019</v>
      </c>
      <c r="G2" s="4">
        <f t="shared" si="0"/>
        <v>2020</v>
      </c>
      <c r="H2" s="4">
        <f t="shared" si="0"/>
        <v>2021</v>
      </c>
      <c r="I2" s="4">
        <f t="shared" si="0"/>
        <v>2022</v>
      </c>
      <c r="J2" s="4">
        <f t="shared" si="0"/>
        <v>2023</v>
      </c>
      <c r="K2" s="4">
        <f t="shared" si="0"/>
        <v>2024</v>
      </c>
    </row>
    <row r="3" spans="1:12" x14ac:dyDescent="0.25">
      <c r="B3" s="2" t="s">
        <v>90</v>
      </c>
      <c r="C3" s="27"/>
      <c r="D3" s="27">
        <f>+FS!D4</f>
        <v>1200</v>
      </c>
      <c r="E3" s="27">
        <f>+FS!E4</f>
        <v>1416</v>
      </c>
      <c r="F3" s="27">
        <f>+FS!F4</f>
        <v>1628.3999999999999</v>
      </c>
      <c r="G3" s="28">
        <f>+G5*G7</f>
        <v>1891.1521678384663</v>
      </c>
      <c r="H3" s="28">
        <f>+H5*H7</f>
        <v>2162.0741570476584</v>
      </c>
      <c r="I3" s="28">
        <f>+I5*I7</f>
        <v>2458.9805204709287</v>
      </c>
      <c r="J3" s="28">
        <f>+J5*J7</f>
        <v>2784.0313567047533</v>
      </c>
      <c r="K3" s="28">
        <f>+K5*K7</f>
        <v>3139.5534932477312</v>
      </c>
    </row>
    <row r="4" spans="1:12" x14ac:dyDescent="0.25">
      <c r="B4" s="15" t="s">
        <v>89</v>
      </c>
      <c r="C4" s="8"/>
      <c r="D4" s="8" t="s">
        <v>10</v>
      </c>
      <c r="E4" s="7">
        <f t="shared" ref="E4:F4" si="1">+E3/D3-1</f>
        <v>0.17999999999999994</v>
      </c>
      <c r="F4" s="7">
        <f t="shared" si="1"/>
        <v>0.14999999999999991</v>
      </c>
      <c r="G4" s="7">
        <f t="shared" ref="G4" si="2">+G3/F3-1</f>
        <v>0.16135603527294684</v>
      </c>
      <c r="H4" s="7">
        <f t="shared" ref="H4" si="3">+H3/G3-1</f>
        <v>0.14325763617363929</v>
      </c>
      <c r="I4" s="7">
        <f t="shared" ref="I4" si="4">+I3/H3-1</f>
        <v>0.1373247825267474</v>
      </c>
      <c r="J4" s="7">
        <f t="shared" ref="J4" si="5">+J3/I3-1</f>
        <v>0.13218926849065604</v>
      </c>
      <c r="K4" s="7">
        <f t="shared" ref="K4" si="6">+K3/J3-1</f>
        <v>0.12770047854769229</v>
      </c>
    </row>
    <row r="5" spans="1:12" x14ac:dyDescent="0.25">
      <c r="B5" s="15" t="s">
        <v>87</v>
      </c>
      <c r="C5" s="19"/>
      <c r="D5" s="19">
        <v>2.5774999999999997</v>
      </c>
      <c r="E5" s="19">
        <v>2.6780224999999995</v>
      </c>
      <c r="F5" s="19">
        <v>2.7904994449999996</v>
      </c>
      <c r="G5" s="16">
        <f>+F5*(1+G6)</f>
        <v>2.9021194227999998</v>
      </c>
      <c r="H5" s="16">
        <f t="shared" ref="H5:K5" si="7">+G5*(1+H6)</f>
        <v>2.9891830054840001</v>
      </c>
      <c r="I5" s="16">
        <f t="shared" si="7"/>
        <v>3.0788584956485203</v>
      </c>
      <c r="J5" s="16">
        <f t="shared" si="7"/>
        <v>3.1712242505179762</v>
      </c>
      <c r="K5" s="16">
        <f t="shared" si="7"/>
        <v>3.2663609780335157</v>
      </c>
    </row>
    <row r="6" spans="1:12" x14ac:dyDescent="0.25">
      <c r="B6" s="39" t="s">
        <v>89</v>
      </c>
      <c r="C6" s="8"/>
      <c r="D6" s="7">
        <v>3.1E-2</v>
      </c>
      <c r="E6" s="7">
        <v>3.9E-2</v>
      </c>
      <c r="F6" s="7">
        <v>4.2000000000000003E-2</v>
      </c>
      <c r="G6" s="46">
        <v>0.04</v>
      </c>
      <c r="H6" s="46">
        <v>0.03</v>
      </c>
      <c r="I6" s="46">
        <v>0.03</v>
      </c>
      <c r="J6" s="46">
        <v>0.03</v>
      </c>
      <c r="K6" s="46">
        <v>0.03</v>
      </c>
    </row>
    <row r="7" spans="1:12" x14ac:dyDescent="0.25">
      <c r="B7" s="15" t="s">
        <v>88</v>
      </c>
      <c r="C7" s="16"/>
      <c r="D7" s="16">
        <f>+D3/D5</f>
        <v>465.56741028128039</v>
      </c>
      <c r="E7" s="16">
        <f>+E3/E5</f>
        <v>528.74835816353311</v>
      </c>
      <c r="F7" s="16">
        <f>+F3/F5</f>
        <v>583.55145094823706</v>
      </c>
      <c r="G7" s="16">
        <f>+G9*G11</f>
        <v>651.64519177982686</v>
      </c>
      <c r="H7" s="16">
        <f>+H9*H11</f>
        <v>723.29936075545879</v>
      </c>
      <c r="I7" s="16">
        <f>+I9*I11</f>
        <v>798.66629919702666</v>
      </c>
      <c r="J7" s="16">
        <f>+J9*J11</f>
        <v>877.90428452040874</v>
      </c>
      <c r="K7" s="16">
        <f>+K9*K11</f>
        <v>961.17774929391669</v>
      </c>
    </row>
    <row r="8" spans="1:12" x14ac:dyDescent="0.25">
      <c r="B8" s="39" t="s">
        <v>89</v>
      </c>
      <c r="C8" s="8"/>
      <c r="D8" s="8" t="s">
        <v>10</v>
      </c>
      <c r="E8" s="7">
        <f>+E7/D7-1</f>
        <v>0.1357074109720886</v>
      </c>
      <c r="F8" s="7">
        <f>+F7/E7-1</f>
        <v>0.10364683301343569</v>
      </c>
      <c r="G8" s="7">
        <f t="shared" ref="G8:K8" si="8">+G7/F7-1</f>
        <v>0.11668849545475624</v>
      </c>
      <c r="H8" s="7">
        <f t="shared" si="8"/>
        <v>0.10995887007149419</v>
      </c>
      <c r="I8" s="7">
        <f t="shared" si="8"/>
        <v>0.10419881798713315</v>
      </c>
      <c r="J8" s="7">
        <f t="shared" si="8"/>
        <v>9.9212882029763083E-2</v>
      </c>
      <c r="K8" s="7">
        <f t="shared" si="8"/>
        <v>9.4854833541448746E-2</v>
      </c>
      <c r="L8" s="9"/>
    </row>
    <row r="9" spans="1:12" x14ac:dyDescent="0.25">
      <c r="B9" s="39" t="s">
        <v>159</v>
      </c>
      <c r="C9" s="16"/>
      <c r="D9" s="19">
        <v>5801.5254599999998</v>
      </c>
      <c r="E9" s="19">
        <v>6103.2047839200004</v>
      </c>
      <c r="F9" s="19">
        <v>6377.8489991963997</v>
      </c>
      <c r="G9" s="16">
        <f>+F9*(1+G10)</f>
        <v>6569.1844691722918</v>
      </c>
      <c r="H9" s="16">
        <f t="shared" ref="H9" si="9">+G9*(1+H10)</f>
        <v>6766.2600032474611</v>
      </c>
      <c r="I9" s="16">
        <f t="shared" ref="I9" si="10">+H9*(1+I10)</f>
        <v>6969.2478033448851</v>
      </c>
      <c r="J9" s="16">
        <f t="shared" ref="J9" si="11">+I9*(1+J10)</f>
        <v>7178.3252374452322</v>
      </c>
      <c r="K9" s="16">
        <f t="shared" ref="K9" si="12">+J9*(1+K10)</f>
        <v>7393.6749945685897</v>
      </c>
    </row>
    <row r="10" spans="1:12" x14ac:dyDescent="0.25">
      <c r="B10" s="71" t="s">
        <v>89</v>
      </c>
      <c r="C10" s="16"/>
      <c r="D10" s="16"/>
      <c r="E10" s="7">
        <f>+E9/D9-1</f>
        <v>5.2000000000000046E-2</v>
      </c>
      <c r="F10" s="7">
        <f>+F9/E9-1</f>
        <v>4.4999999999999929E-2</v>
      </c>
      <c r="G10" s="46">
        <v>0.03</v>
      </c>
      <c r="H10" s="46">
        <v>0.03</v>
      </c>
      <c r="I10" s="46">
        <v>0.03</v>
      </c>
      <c r="J10" s="46">
        <v>0.03</v>
      </c>
      <c r="K10" s="46">
        <v>0.03</v>
      </c>
    </row>
    <row r="11" spans="1:12" x14ac:dyDescent="0.25">
      <c r="B11" s="71" t="s">
        <v>157</v>
      </c>
      <c r="C11" s="16"/>
      <c r="D11" s="7">
        <f>+D7/D9</f>
        <v>8.0249136798803328E-2</v>
      </c>
      <c r="E11" s="7">
        <f>+E7/E9</f>
        <v>8.6634543143074033E-2</v>
      </c>
      <c r="F11" s="7">
        <f>+F7/F9</f>
        <v>9.1496592506621552E-2</v>
      </c>
      <c r="G11" s="46">
        <f>F11+($K$11-$F$11)/($K$2-$F$2)</f>
        <v>9.9197274005297237E-2</v>
      </c>
      <c r="H11" s="46">
        <f t="shared" ref="H11:J11" si="13">G11+($K$11-$F$11)/($K$2-$F$2)</f>
        <v>0.10689795550397292</v>
      </c>
      <c r="I11" s="46">
        <f t="shared" si="13"/>
        <v>0.11459863700264861</v>
      </c>
      <c r="J11" s="46">
        <f t="shared" si="13"/>
        <v>0.12229931850132429</v>
      </c>
      <c r="K11" s="46">
        <v>0.13</v>
      </c>
    </row>
    <row r="12" spans="1:12" x14ac:dyDescent="0.25">
      <c r="B12" s="1" t="s">
        <v>1</v>
      </c>
      <c r="C12" s="32"/>
      <c r="D12" s="32">
        <f>+FS!D5</f>
        <v>-702</v>
      </c>
      <c r="E12" s="32">
        <f>+FS!E5</f>
        <v>-828.36</v>
      </c>
      <c r="F12" s="32">
        <f>+FS!F5</f>
        <v>-952.61399999999992</v>
      </c>
      <c r="G12" s="16">
        <f>+G13-G3</f>
        <v>-1106.3240181855028</v>
      </c>
      <c r="H12" s="16">
        <f>+H13-H3</f>
        <v>-1264.8133818728802</v>
      </c>
      <c r="I12" s="16">
        <f>+I13-I3</f>
        <v>-1438.5036044754934</v>
      </c>
      <c r="J12" s="16">
        <f>+J13-J3</f>
        <v>-1628.6583436722808</v>
      </c>
      <c r="K12" s="16">
        <f>+K13-K3</f>
        <v>-1836.6387935499229</v>
      </c>
    </row>
    <row r="13" spans="1:12" x14ac:dyDescent="0.25">
      <c r="B13" s="6" t="s">
        <v>2</v>
      </c>
      <c r="C13" s="36"/>
      <c r="D13" s="36">
        <f>+D3+D12</f>
        <v>498</v>
      </c>
      <c r="E13" s="36">
        <f>+E3+E12</f>
        <v>587.64</v>
      </c>
      <c r="F13" s="36">
        <f>+F3+F12</f>
        <v>675.78599999999994</v>
      </c>
      <c r="G13" s="17">
        <f>+G3*G14</f>
        <v>784.82814965296348</v>
      </c>
      <c r="H13" s="17">
        <f>+H3*H14</f>
        <v>897.26077517477825</v>
      </c>
      <c r="I13" s="17">
        <f>+I3*I14</f>
        <v>1020.4769159954353</v>
      </c>
      <c r="J13" s="17">
        <f>+J3*J14</f>
        <v>1155.3730130324725</v>
      </c>
      <c r="K13" s="17">
        <f>+K3*K14</f>
        <v>1302.9146996978084</v>
      </c>
    </row>
    <row r="14" spans="1:12" s="21" customFormat="1" x14ac:dyDescent="0.25">
      <c r="B14" s="34" t="s">
        <v>13</v>
      </c>
      <c r="C14" s="33"/>
      <c r="D14" s="33">
        <f>+D13/D3</f>
        <v>0.41499999999999998</v>
      </c>
      <c r="E14" s="33">
        <f>+E13/E3</f>
        <v>0.41499999999999998</v>
      </c>
      <c r="F14" s="33">
        <f>+F13/F3</f>
        <v>0.41499999999999998</v>
      </c>
      <c r="G14" s="46">
        <f>+F14</f>
        <v>0.41499999999999998</v>
      </c>
      <c r="H14" s="46">
        <f t="shared" ref="H14:K14" si="14">+G14</f>
        <v>0.41499999999999998</v>
      </c>
      <c r="I14" s="46">
        <f t="shared" si="14"/>
        <v>0.41499999999999998</v>
      </c>
      <c r="J14" s="46">
        <f t="shared" si="14"/>
        <v>0.41499999999999998</v>
      </c>
      <c r="K14" s="46">
        <f t="shared" si="14"/>
        <v>0.41499999999999998</v>
      </c>
    </row>
    <row r="15" spans="1:12" s="21" customFormat="1" x14ac:dyDescent="0.25">
      <c r="B15" s="21" t="str">
        <f>+FS!B7</f>
        <v>Selling Expenses</v>
      </c>
      <c r="C15" s="26"/>
      <c r="D15" s="26">
        <f>+FS!D7</f>
        <v>-85.199999999999989</v>
      </c>
      <c r="E15" s="26">
        <f>+FS!E7</f>
        <v>-99.827999999999989</v>
      </c>
      <c r="F15" s="26">
        <f>+FS!F7</f>
        <v>-113.988</v>
      </c>
      <c r="G15" s="29">
        <f>-G16*G3</f>
        <v>-132.38065174869266</v>
      </c>
      <c r="H15" s="29">
        <f>-H16*H3</f>
        <v>-151.3451909933361</v>
      </c>
      <c r="I15" s="29">
        <f>-I16*I3</f>
        <v>-172.12863643296504</v>
      </c>
      <c r="J15" s="29">
        <f>-J16*J3</f>
        <v>-194.88219496933274</v>
      </c>
      <c r="K15" s="29">
        <f>-K16*K3</f>
        <v>-219.7687445273412</v>
      </c>
    </row>
    <row r="16" spans="1:12" x14ac:dyDescent="0.25">
      <c r="B16" s="15" t="s">
        <v>91</v>
      </c>
      <c r="C16" s="7"/>
      <c r="D16" s="7">
        <f>-D15/D3</f>
        <v>7.0999999999999994E-2</v>
      </c>
      <c r="E16" s="7">
        <f>-E15/E3</f>
        <v>7.0499999999999993E-2</v>
      </c>
      <c r="F16" s="7">
        <f>-F15/F3</f>
        <v>7.0000000000000007E-2</v>
      </c>
      <c r="G16" s="46">
        <f>+F16</f>
        <v>7.0000000000000007E-2</v>
      </c>
      <c r="H16" s="46">
        <f t="shared" ref="H16:K16" si="15">+G16</f>
        <v>7.0000000000000007E-2</v>
      </c>
      <c r="I16" s="46">
        <f t="shared" si="15"/>
        <v>7.0000000000000007E-2</v>
      </c>
      <c r="J16" s="46">
        <f t="shared" si="15"/>
        <v>7.0000000000000007E-2</v>
      </c>
      <c r="K16" s="46">
        <f t="shared" si="15"/>
        <v>7.0000000000000007E-2</v>
      </c>
    </row>
    <row r="17" spans="2:11" s="21" customFormat="1" x14ac:dyDescent="0.25">
      <c r="B17" s="21" t="str">
        <f>+FS!B8</f>
        <v>Administrative Expenses</v>
      </c>
      <c r="C17" s="26"/>
      <c r="D17" s="26">
        <f>+FS!D8</f>
        <v>-200.20000000000002</v>
      </c>
      <c r="E17" s="26">
        <f>+FS!E8</f>
        <v>-214.21400000000003</v>
      </c>
      <c r="F17" s="26">
        <f>+FS!F8</f>
        <v>-224.92470000000003</v>
      </c>
      <c r="G17" s="35">
        <f>+F17*(1+G18)</f>
        <v>-236.17093500000004</v>
      </c>
      <c r="H17" s="35">
        <f t="shared" ref="H17:K17" si="16">+G17*(1+H18)</f>
        <v>-247.97948175000005</v>
      </c>
      <c r="I17" s="35">
        <f t="shared" si="16"/>
        <v>-260.37845583750004</v>
      </c>
      <c r="J17" s="35">
        <f t="shared" si="16"/>
        <v>-273.39737862937505</v>
      </c>
      <c r="K17" s="35">
        <f t="shared" si="16"/>
        <v>-287.06724756084384</v>
      </c>
    </row>
    <row r="18" spans="2:11" x14ac:dyDescent="0.25">
      <c r="B18" s="15" t="s">
        <v>89</v>
      </c>
      <c r="C18" s="10"/>
      <c r="D18" s="8" t="s">
        <v>10</v>
      </c>
      <c r="E18" s="7">
        <f t="shared" ref="E18:F18" si="17">+E17/D17-1</f>
        <v>7.0000000000000062E-2</v>
      </c>
      <c r="F18" s="7">
        <f t="shared" si="17"/>
        <v>5.0000000000000044E-2</v>
      </c>
      <c r="G18" s="46">
        <v>0.05</v>
      </c>
      <c r="H18" s="46">
        <v>0.05</v>
      </c>
      <c r="I18" s="46">
        <v>0.05</v>
      </c>
      <c r="J18" s="46">
        <v>0.05</v>
      </c>
      <c r="K18" s="46">
        <v>0.05</v>
      </c>
    </row>
    <row r="19" spans="2:11" s="21" customFormat="1" x14ac:dyDescent="0.25">
      <c r="B19" s="21" t="str">
        <f>+FS!B9</f>
        <v>DA</v>
      </c>
      <c r="C19" s="26"/>
      <c r="D19" s="26">
        <f>+FS!D9</f>
        <v>-10</v>
      </c>
      <c r="E19" s="26">
        <f>+FS!E9</f>
        <v>-17.2</v>
      </c>
      <c r="F19" s="26">
        <f>+FS!F9</f>
        <v>-25.695999999999998</v>
      </c>
      <c r="G19" s="92">
        <f>+PPE!G6</f>
        <v>-46.813313007030786</v>
      </c>
      <c r="H19" s="92">
        <f>+PPE!H6</f>
        <v>-59.785757949316732</v>
      </c>
      <c r="I19" s="92">
        <f>+PPE!I6</f>
        <v>-64.539641072142317</v>
      </c>
      <c r="J19" s="92">
        <f>+PPE!J6</f>
        <v>-74.043829212370838</v>
      </c>
      <c r="K19" s="92">
        <f>+PPE!K6</f>
        <v>-84.385150171857219</v>
      </c>
    </row>
    <row r="20" spans="2:11" s="2" customFormat="1" x14ac:dyDescent="0.25">
      <c r="B20" s="6" t="s">
        <v>3</v>
      </c>
      <c r="C20" s="36"/>
      <c r="D20" s="36">
        <f t="shared" ref="D20:F20" si="18">+D13+D15+D17+D19</f>
        <v>202.6</v>
      </c>
      <c r="E20" s="36">
        <f t="shared" si="18"/>
        <v>256.39799999999997</v>
      </c>
      <c r="F20" s="36">
        <f t="shared" si="18"/>
        <v>311.17729999999995</v>
      </c>
      <c r="G20" s="36">
        <f t="shared" ref="G20" si="19">+G13+G15+G17+G19</f>
        <v>369.46324989723996</v>
      </c>
      <c r="H20" s="36">
        <f t="shared" ref="H20" si="20">+H13+H15+H17+H19</f>
        <v>438.15034448212532</v>
      </c>
      <c r="I20" s="36">
        <f t="shared" ref="I20" si="21">+I13+I15+I17+I19</f>
        <v>523.43018265282785</v>
      </c>
      <c r="J20" s="36">
        <f t="shared" ref="J20" si="22">+J13+J15+J17+J19</f>
        <v>613.04961022139378</v>
      </c>
      <c r="K20" s="36">
        <f t="shared" ref="K20" si="23">+K13+K15+K17+K19</f>
        <v>711.69355743776623</v>
      </c>
    </row>
    <row r="21" spans="2:11" x14ac:dyDescent="0.25">
      <c r="B21" s="15" t="s">
        <v>11</v>
      </c>
      <c r="C21" s="9"/>
      <c r="D21" s="9">
        <f t="shared" ref="D21:K21" si="24">+D20/D3</f>
        <v>0.16883333333333334</v>
      </c>
      <c r="E21" s="9">
        <f t="shared" si="24"/>
        <v>0.18107203389830506</v>
      </c>
      <c r="F21" s="9">
        <f t="shared" si="24"/>
        <v>0.1910938958486858</v>
      </c>
      <c r="G21" s="9">
        <f t="shared" si="24"/>
        <v>0.195364104581561</v>
      </c>
      <c r="H21" s="9">
        <f t="shared" si="24"/>
        <v>0.20265278277060836</v>
      </c>
      <c r="I21" s="9">
        <f t="shared" si="24"/>
        <v>0.21286471295534451</v>
      </c>
      <c r="J21" s="9">
        <f t="shared" si="24"/>
        <v>0.22020212119557953</v>
      </c>
      <c r="K21" s="9">
        <f t="shared" si="24"/>
        <v>0.22668623387638165</v>
      </c>
    </row>
    <row r="22" spans="2:11" s="21" customFormat="1" x14ac:dyDescent="0.25">
      <c r="B22" s="21" t="s">
        <v>6</v>
      </c>
      <c r="C22" s="26"/>
      <c r="D22" s="26">
        <f>+FS!D11</f>
        <v>-5.3999999999999995</v>
      </c>
      <c r="E22" s="26">
        <f>+FS!E11</f>
        <v>-4.4420594376715759</v>
      </c>
      <c r="F22" s="26">
        <f>+FS!F11</f>
        <v>-3.4266424416034469</v>
      </c>
      <c r="G22" s="91">
        <f>+'Debt Schedule'!G8</f>
        <v>-5.3503004257712297</v>
      </c>
      <c r="H22" s="91">
        <f>+'Debt Schedule'!H8</f>
        <v>-6.4771886876955111</v>
      </c>
      <c r="I22" s="91">
        <f>+'Debt Schedule'!I8</f>
        <v>-4.703690245335248</v>
      </c>
      <c r="J22" s="91">
        <f>+'Debt Schedule'!J8</f>
        <v>-4.105722458761794</v>
      </c>
      <c r="K22" s="91">
        <f>+'Debt Schedule'!K8</f>
        <v>-3.4718766049939327</v>
      </c>
    </row>
    <row r="23" spans="2:11" s="21" customFormat="1" x14ac:dyDescent="0.25">
      <c r="B23" s="21" t="s">
        <v>5</v>
      </c>
      <c r="C23" s="30"/>
      <c r="D23" s="30">
        <f t="shared" ref="D23:F23" si="25">+D20+D22</f>
        <v>197.2</v>
      </c>
      <c r="E23" s="30">
        <f t="shared" si="25"/>
        <v>251.95594056232838</v>
      </c>
      <c r="F23" s="30">
        <f t="shared" si="25"/>
        <v>307.75065755839648</v>
      </c>
      <c r="G23" s="30">
        <f t="shared" ref="G23" si="26">+G20+G22</f>
        <v>364.11294947146871</v>
      </c>
      <c r="H23" s="30">
        <f t="shared" ref="H23" si="27">+H20+H22</f>
        <v>431.67315579442982</v>
      </c>
      <c r="I23" s="30">
        <f t="shared" ref="I23" si="28">+I20+I22</f>
        <v>518.72649240749263</v>
      </c>
      <c r="J23" s="30">
        <f t="shared" ref="J23" si="29">+J20+J22</f>
        <v>608.94388776263202</v>
      </c>
      <c r="K23" s="30">
        <f t="shared" ref="K23" si="30">+K20+K22</f>
        <v>708.22168083277234</v>
      </c>
    </row>
    <row r="24" spans="2:11" s="21" customFormat="1" x14ac:dyDescent="0.25">
      <c r="B24" s="21" t="str">
        <f>+FS!B13</f>
        <v>Tax Expense</v>
      </c>
      <c r="C24" s="26"/>
      <c r="D24" s="26">
        <f>+FS!D13</f>
        <v>-44.645999999999994</v>
      </c>
      <c r="E24" s="26">
        <f>+FS!E13</f>
        <v>-57.455579999999991</v>
      </c>
      <c r="F24" s="26">
        <f>+FS!F13</f>
        <v>-71.417139599999999</v>
      </c>
      <c r="G24" s="35">
        <f>+G23*-G25</f>
        <v>-72.822589894293742</v>
      </c>
      <c r="H24" s="35">
        <f t="shared" ref="H24:K24" si="31">+H23*-H25</f>
        <v>-86.334631158885969</v>
      </c>
      <c r="I24" s="35">
        <f t="shared" si="31"/>
        <v>-103.74529848149854</v>
      </c>
      <c r="J24" s="35">
        <f t="shared" si="31"/>
        <v>-121.78877755252641</v>
      </c>
      <c r="K24" s="35">
        <f t="shared" si="31"/>
        <v>-141.64433616655447</v>
      </c>
    </row>
    <row r="25" spans="2:11" x14ac:dyDescent="0.25">
      <c r="B25" s="15" t="s">
        <v>92</v>
      </c>
      <c r="C25" s="9"/>
      <c r="D25" s="9">
        <f t="shared" ref="D25:F25" si="32">-D24/D23</f>
        <v>0.22639959432048679</v>
      </c>
      <c r="E25" s="9">
        <f t="shared" si="32"/>
        <v>0.2280382033135144</v>
      </c>
      <c r="F25" s="9">
        <f t="shared" si="32"/>
        <v>0.23206169620108258</v>
      </c>
      <c r="G25" s="55">
        <v>0.2</v>
      </c>
      <c r="H25" s="55">
        <v>0.2</v>
      </c>
      <c r="I25" s="55">
        <v>0.2</v>
      </c>
      <c r="J25" s="55">
        <v>0.2</v>
      </c>
      <c r="K25" s="55">
        <v>0.2</v>
      </c>
    </row>
    <row r="26" spans="2:11" s="21" customFormat="1" x14ac:dyDescent="0.25">
      <c r="B26" s="6" t="s">
        <v>93</v>
      </c>
      <c r="C26" s="36"/>
      <c r="D26" s="36">
        <f t="shared" ref="D26:K26" si="33">+D23+D24</f>
        <v>152.554</v>
      </c>
      <c r="E26" s="36">
        <f t="shared" si="33"/>
        <v>194.50036056232838</v>
      </c>
      <c r="F26" s="36">
        <f t="shared" si="33"/>
        <v>236.3335179583965</v>
      </c>
      <c r="G26" s="36">
        <f t="shared" si="33"/>
        <v>291.29035957717497</v>
      </c>
      <c r="H26" s="36">
        <f t="shared" si="33"/>
        <v>345.33852463554388</v>
      </c>
      <c r="I26" s="36">
        <f t="shared" si="33"/>
        <v>414.98119392599409</v>
      </c>
      <c r="J26" s="36">
        <f t="shared" si="33"/>
        <v>487.15511021010559</v>
      </c>
      <c r="K26" s="36">
        <f t="shared" si="33"/>
        <v>566.57734466621787</v>
      </c>
    </row>
    <row r="27" spans="2:11" x14ac:dyDescent="0.25">
      <c r="B27" s="37" t="s">
        <v>12</v>
      </c>
      <c r="C27" s="38"/>
      <c r="D27" s="38">
        <f t="shared" ref="D27:K27" si="34">+D26/D3</f>
        <v>0.12712833333333334</v>
      </c>
      <c r="E27" s="38">
        <f t="shared" si="34"/>
        <v>0.13735901169655959</v>
      </c>
      <c r="F27" s="38">
        <f t="shared" si="34"/>
        <v>0.14513234952001752</v>
      </c>
      <c r="G27" s="38">
        <f t="shared" si="34"/>
        <v>0.15402798597117209</v>
      </c>
      <c r="H27" s="38">
        <f t="shared" si="34"/>
        <v>0.15972556885241546</v>
      </c>
      <c r="I27" s="38">
        <f t="shared" si="34"/>
        <v>0.16876148081340614</v>
      </c>
      <c r="J27" s="38">
        <f t="shared" si="34"/>
        <v>0.1749819049404365</v>
      </c>
      <c r="K27" s="38">
        <f t="shared" si="34"/>
        <v>0.18046430675086803</v>
      </c>
    </row>
    <row r="29" spans="2:11" x14ac:dyDescent="0.25">
      <c r="B29" s="1" t="s">
        <v>3</v>
      </c>
      <c r="C29" s="11"/>
      <c r="D29" s="11">
        <f t="shared" ref="D29:K29" si="35">+D20</f>
        <v>202.6</v>
      </c>
      <c r="E29" s="11">
        <f t="shared" si="35"/>
        <v>256.39799999999997</v>
      </c>
      <c r="F29" s="11">
        <f t="shared" si="35"/>
        <v>311.17729999999995</v>
      </c>
      <c r="G29" s="11">
        <f t="shared" si="35"/>
        <v>369.46324989723996</v>
      </c>
      <c r="H29" s="11">
        <f t="shared" si="35"/>
        <v>438.15034448212532</v>
      </c>
      <c r="I29" s="11">
        <f t="shared" si="35"/>
        <v>523.43018265282785</v>
      </c>
      <c r="J29" s="11">
        <f t="shared" si="35"/>
        <v>613.04961022139378</v>
      </c>
      <c r="K29" s="11">
        <f t="shared" si="35"/>
        <v>711.69355743776623</v>
      </c>
    </row>
    <row r="30" spans="2:11" x14ac:dyDescent="0.25">
      <c r="B30" s="1" t="s">
        <v>84</v>
      </c>
      <c r="C30" s="31"/>
      <c r="D30" s="31">
        <f>+FS!D17</f>
        <v>10</v>
      </c>
      <c r="E30" s="31">
        <f>+FS!E17</f>
        <v>17.2</v>
      </c>
      <c r="F30" s="31">
        <f>+FS!F17</f>
        <v>25.695999999999998</v>
      </c>
      <c r="G30" s="98">
        <f>-G19</f>
        <v>46.813313007030786</v>
      </c>
      <c r="H30" s="98">
        <f t="shared" ref="H30:K30" si="36">-H19</f>
        <v>59.785757949316732</v>
      </c>
      <c r="I30" s="98">
        <f t="shared" si="36"/>
        <v>64.539641072142317</v>
      </c>
      <c r="J30" s="98">
        <f t="shared" si="36"/>
        <v>74.043829212370838</v>
      </c>
      <c r="K30" s="98">
        <f t="shared" si="36"/>
        <v>84.385150171857219</v>
      </c>
    </row>
    <row r="31" spans="2:11" x14ac:dyDescent="0.25">
      <c r="B31" s="6" t="s">
        <v>86</v>
      </c>
      <c r="C31" s="72"/>
      <c r="D31" s="72">
        <f t="shared" ref="D31:F31" si="37">+D29+D30</f>
        <v>212.6</v>
      </c>
      <c r="E31" s="72">
        <f t="shared" si="37"/>
        <v>273.59799999999996</v>
      </c>
      <c r="F31" s="72">
        <f t="shared" si="37"/>
        <v>336.87329999999997</v>
      </c>
      <c r="G31" s="72">
        <f t="shared" ref="G31" si="38">+G29+G30</f>
        <v>416.27656290427075</v>
      </c>
      <c r="H31" s="72">
        <f t="shared" ref="H31" si="39">+H29+H30</f>
        <v>497.93610243144207</v>
      </c>
      <c r="I31" s="72">
        <f t="shared" ref="I31" si="40">+I29+I30</f>
        <v>587.96982372497018</v>
      </c>
      <c r="J31" s="72">
        <f t="shared" ref="J31" si="41">+J29+J30</f>
        <v>687.09343943376462</v>
      </c>
      <c r="K31" s="72">
        <f t="shared" ref="K31" si="42">+K29+K30</f>
        <v>796.07870760962351</v>
      </c>
    </row>
    <row r="32" spans="2:11" x14ac:dyDescent="0.25">
      <c r="B32" s="15" t="s">
        <v>85</v>
      </c>
      <c r="C32" s="8"/>
      <c r="D32" s="8">
        <f t="shared" ref="D32:K32" si="43">+D31/D3</f>
        <v>0.17716666666666667</v>
      </c>
      <c r="E32" s="8">
        <f t="shared" si="43"/>
        <v>0.19321892655367229</v>
      </c>
      <c r="F32" s="8">
        <f t="shared" si="43"/>
        <v>0.20687380250552689</v>
      </c>
      <c r="G32" s="8">
        <f t="shared" si="43"/>
        <v>0.22011796299821984</v>
      </c>
      <c r="H32" s="8">
        <f t="shared" si="43"/>
        <v>0.23030482132554628</v>
      </c>
      <c r="I32" s="8">
        <f t="shared" si="43"/>
        <v>0.2391112165509818</v>
      </c>
      <c r="J32" s="8">
        <f t="shared" si="43"/>
        <v>0.24679802466270531</v>
      </c>
      <c r="K32" s="8">
        <f t="shared" si="43"/>
        <v>0.25356430757486942</v>
      </c>
    </row>
    <row r="34" spans="1:11" x14ac:dyDescent="0.25">
      <c r="A34" s="2">
        <v>2</v>
      </c>
      <c r="B34" s="2" t="s">
        <v>14</v>
      </c>
      <c r="C34" s="3"/>
      <c r="D34" s="3">
        <v>2017</v>
      </c>
      <c r="E34" s="3">
        <f t="shared" ref="E34:K34" si="44">+D34+1</f>
        <v>2018</v>
      </c>
      <c r="F34" s="3">
        <f t="shared" si="44"/>
        <v>2019</v>
      </c>
      <c r="G34" s="4">
        <f t="shared" si="44"/>
        <v>2020</v>
      </c>
      <c r="H34" s="4">
        <f t="shared" si="44"/>
        <v>2021</v>
      </c>
      <c r="I34" s="4">
        <f t="shared" si="44"/>
        <v>2022</v>
      </c>
      <c r="J34" s="4">
        <f t="shared" si="44"/>
        <v>2023</v>
      </c>
      <c r="K34" s="4">
        <f t="shared" si="44"/>
        <v>2024</v>
      </c>
    </row>
    <row r="35" spans="1:11" x14ac:dyDescent="0.25">
      <c r="B35" s="21" t="s">
        <v>16</v>
      </c>
      <c r="C35" s="32"/>
      <c r="D35" s="32">
        <f>+FS!D30</f>
        <v>108.49315068493151</v>
      </c>
      <c r="E35" s="32">
        <f>+FS!E30</f>
        <v>120.26301369863013</v>
      </c>
      <c r="F35" s="32">
        <f>+FS!F30</f>
        <v>133.84109589041094</v>
      </c>
      <c r="G35" s="16">
        <f>+G3/G36</f>
        <v>147.55267062944554</v>
      </c>
      <c r="H35" s="16">
        <f>+H3/H36</f>
        <v>168.69071743492748</v>
      </c>
      <c r="I35" s="16">
        <f>+I3/I36</f>
        <v>191.85613352095987</v>
      </c>
      <c r="J35" s="16">
        <f>+J3/J36</f>
        <v>217.2174554665412</v>
      </c>
      <c r="K35" s="16">
        <f>+K3/K36</f>
        <v>244.95622847853053</v>
      </c>
    </row>
    <row r="36" spans="1:11" x14ac:dyDescent="0.25">
      <c r="B36" s="15" t="s">
        <v>35</v>
      </c>
      <c r="C36" s="24"/>
      <c r="D36" s="16">
        <f>+FS!D4/AVERAGE(C35:D35)</f>
        <v>11.060606060606061</v>
      </c>
      <c r="E36" s="16">
        <f>+FS!E4/AVERAGE(D35:E35)</f>
        <v>12.379994251221616</v>
      </c>
      <c r="F36" s="16">
        <f>+FS!F4/AVERAGE(E35:F35)</f>
        <v>12.816793893129772</v>
      </c>
      <c r="G36" s="16">
        <f>365/G37</f>
        <v>12.816793893129772</v>
      </c>
      <c r="H36" s="16">
        <f t="shared" ref="H36:K36" si="45">365/H37</f>
        <v>12.816793893129772</v>
      </c>
      <c r="I36" s="16">
        <f t="shared" si="45"/>
        <v>12.816793893129772</v>
      </c>
      <c r="J36" s="16">
        <f t="shared" si="45"/>
        <v>12.816793893129772</v>
      </c>
      <c r="K36" s="16">
        <f t="shared" si="45"/>
        <v>12.816793893129772</v>
      </c>
    </row>
    <row r="37" spans="1:11" x14ac:dyDescent="0.25">
      <c r="B37" s="15" t="s">
        <v>36</v>
      </c>
      <c r="C37" s="24"/>
      <c r="D37" s="16">
        <f>365/D36</f>
        <v>33</v>
      </c>
      <c r="E37" s="16">
        <f>365/E36</f>
        <v>29.483050847457626</v>
      </c>
      <c r="F37" s="16">
        <f>365/F36</f>
        <v>28.478260869565215</v>
      </c>
      <c r="G37" s="56">
        <f>+F37</f>
        <v>28.478260869565215</v>
      </c>
      <c r="H37" s="56">
        <f t="shared" ref="H37:K37" si="46">+G37</f>
        <v>28.478260869565215</v>
      </c>
      <c r="I37" s="56">
        <f t="shared" si="46"/>
        <v>28.478260869565215</v>
      </c>
      <c r="J37" s="56">
        <f t="shared" si="46"/>
        <v>28.478260869565215</v>
      </c>
      <c r="K37" s="56">
        <f t="shared" si="46"/>
        <v>28.478260869565215</v>
      </c>
    </row>
    <row r="38" spans="1:11" x14ac:dyDescent="0.25">
      <c r="B38" s="1" t="s">
        <v>17</v>
      </c>
      <c r="C38" s="32"/>
      <c r="D38" s="32">
        <f>+FS!D31</f>
        <v>85.009315068493152</v>
      </c>
      <c r="E38" s="32">
        <f>+FS!E31</f>
        <v>94.183397260273978</v>
      </c>
      <c r="F38" s="32">
        <f>+FS!F31</f>
        <v>104.39605479452054</v>
      </c>
      <c r="G38" s="16">
        <f>-G$12/G39</f>
        <v>115.31072256251518</v>
      </c>
      <c r="H38" s="16">
        <f t="shared" ref="H38:K38" si="47">-H$12/H39</f>
        <v>131.82986410229543</v>
      </c>
      <c r="I38" s="16">
        <f t="shared" si="47"/>
        <v>149.93337152067383</v>
      </c>
      <c r="J38" s="16">
        <f t="shared" si="47"/>
        <v>169.75295422432944</v>
      </c>
      <c r="K38" s="16">
        <f t="shared" si="47"/>
        <v>191.43048771366082</v>
      </c>
    </row>
    <row r="39" spans="1:11" x14ac:dyDescent="0.25">
      <c r="B39" s="15" t="s">
        <v>37</v>
      </c>
      <c r="C39" s="24"/>
      <c r="D39" s="16">
        <f>-FS!D5/AVERAGE(C38:D38)</f>
        <v>8.2579185520361982</v>
      </c>
      <c r="E39" s="16">
        <f>-FS!E5/AVERAGE(D38:E38)</f>
        <v>9.2454652785231293</v>
      </c>
      <c r="F39" s="16">
        <f>-FS!F5/AVERAGE(E38:F38)</f>
        <v>9.5942857142857143</v>
      </c>
      <c r="G39" s="16">
        <f>365/G40</f>
        <v>9.5942857142857143</v>
      </c>
      <c r="H39" s="16">
        <f t="shared" ref="H39:K39" si="48">365/H40</f>
        <v>9.5942857142857143</v>
      </c>
      <c r="I39" s="16">
        <f t="shared" si="48"/>
        <v>9.5942857142857143</v>
      </c>
      <c r="J39" s="16">
        <f t="shared" si="48"/>
        <v>9.5942857142857143</v>
      </c>
      <c r="K39" s="16">
        <f t="shared" si="48"/>
        <v>9.5942857142857143</v>
      </c>
    </row>
    <row r="40" spans="1:11" x14ac:dyDescent="0.25">
      <c r="B40" s="15" t="s">
        <v>38</v>
      </c>
      <c r="C40" s="24"/>
      <c r="D40" s="16">
        <f>365/D39</f>
        <v>44.2</v>
      </c>
      <c r="E40" s="16">
        <f>365/E39</f>
        <v>39.478813559322035</v>
      </c>
      <c r="F40" s="16">
        <f>365/F39</f>
        <v>38.043478260869563</v>
      </c>
      <c r="G40" s="56">
        <f>+F40</f>
        <v>38.043478260869563</v>
      </c>
      <c r="H40" s="56">
        <f t="shared" ref="H40:K40" si="49">+G40</f>
        <v>38.043478260869563</v>
      </c>
      <c r="I40" s="56">
        <f t="shared" si="49"/>
        <v>38.043478260869563</v>
      </c>
      <c r="J40" s="56">
        <f t="shared" si="49"/>
        <v>38.043478260869563</v>
      </c>
      <c r="K40" s="56">
        <f t="shared" si="49"/>
        <v>38.043478260869563</v>
      </c>
    </row>
    <row r="41" spans="1:11" x14ac:dyDescent="0.25">
      <c r="B41" s="1" t="s">
        <v>18</v>
      </c>
      <c r="C41" s="32"/>
      <c r="D41" s="32">
        <f>+FS!D32</f>
        <v>12</v>
      </c>
      <c r="E41" s="32">
        <f>+FS!E32</f>
        <v>11</v>
      </c>
      <c r="F41" s="32">
        <f>+FS!F32</f>
        <v>11</v>
      </c>
      <c r="G41" s="56">
        <f>+F41</f>
        <v>11</v>
      </c>
      <c r="H41" s="56">
        <f t="shared" ref="H41:K41" si="50">+G41</f>
        <v>11</v>
      </c>
      <c r="I41" s="56">
        <f t="shared" si="50"/>
        <v>11</v>
      </c>
      <c r="J41" s="56">
        <f t="shared" si="50"/>
        <v>11</v>
      </c>
      <c r="K41" s="56">
        <f t="shared" si="50"/>
        <v>11</v>
      </c>
    </row>
    <row r="42" spans="1:11" x14ac:dyDescent="0.25">
      <c r="B42" s="1" t="s">
        <v>21</v>
      </c>
      <c r="C42" s="32"/>
      <c r="D42" s="32">
        <f>+FS!D35</f>
        <v>15</v>
      </c>
      <c r="E42" s="32">
        <f>+FS!E35</f>
        <v>15</v>
      </c>
      <c r="F42" s="32">
        <f>+FS!F35</f>
        <v>15</v>
      </c>
      <c r="G42" s="56">
        <f t="shared" ref="G42:K42" si="51">+F42</f>
        <v>15</v>
      </c>
      <c r="H42" s="56">
        <f t="shared" si="51"/>
        <v>15</v>
      </c>
      <c r="I42" s="56">
        <f t="shared" si="51"/>
        <v>15</v>
      </c>
      <c r="J42" s="56">
        <f t="shared" si="51"/>
        <v>15</v>
      </c>
      <c r="K42" s="56">
        <f t="shared" si="51"/>
        <v>15</v>
      </c>
    </row>
    <row r="43" spans="1:11" x14ac:dyDescent="0.25">
      <c r="B43" s="1" t="s">
        <v>22</v>
      </c>
      <c r="C43" s="32"/>
      <c r="D43" s="32">
        <f>+FS!D36</f>
        <v>7.6</v>
      </c>
      <c r="E43" s="32">
        <f>+FS!E36</f>
        <v>8</v>
      </c>
      <c r="F43" s="32">
        <f>+FS!F36</f>
        <v>8.5</v>
      </c>
      <c r="G43" s="56">
        <f t="shared" ref="G43:K43" si="52">+F43</f>
        <v>8.5</v>
      </c>
      <c r="H43" s="56">
        <f t="shared" si="52"/>
        <v>8.5</v>
      </c>
      <c r="I43" s="56">
        <f t="shared" si="52"/>
        <v>8.5</v>
      </c>
      <c r="J43" s="56">
        <f t="shared" si="52"/>
        <v>8.5</v>
      </c>
      <c r="K43" s="56">
        <f t="shared" si="52"/>
        <v>8.5</v>
      </c>
    </row>
    <row r="44" spans="1:11" x14ac:dyDescent="0.25">
      <c r="B44" s="1" t="s">
        <v>25</v>
      </c>
      <c r="C44" s="32"/>
      <c r="D44" s="32">
        <f>+FS!D39</f>
        <v>48.659178082191787</v>
      </c>
      <c r="E44" s="32">
        <f>+FS!E39</f>
        <v>58.325621917808213</v>
      </c>
      <c r="F44" s="32">
        <f>+FS!F39</f>
        <v>66.552484931506854</v>
      </c>
      <c r="G44" s="16">
        <f>-G$12/G45</f>
        <v>72.744592976581004</v>
      </c>
      <c r="H44" s="16">
        <f t="shared" ref="H44" si="53">-H$12/H45</f>
        <v>83.165811410819515</v>
      </c>
      <c r="I44" s="16">
        <f t="shared" ref="I44" si="54">-I$12/I45</f>
        <v>94.586538376470799</v>
      </c>
      <c r="J44" s="16">
        <f t="shared" ref="J44" si="55">-J$12/J45</f>
        <v>107.08986369351983</v>
      </c>
      <c r="K44" s="16">
        <f t="shared" ref="K44" si="56">-K$12/K45</f>
        <v>120.76529053478944</v>
      </c>
    </row>
    <row r="45" spans="1:11" x14ac:dyDescent="0.25">
      <c r="B45" s="15" t="s">
        <v>39</v>
      </c>
      <c r="C45" s="24"/>
      <c r="D45" s="16">
        <f>-FS!D5/AVERAGE(C44:D44)</f>
        <v>14.426877470355729</v>
      </c>
      <c r="E45" s="16">
        <f>-FS!E5/AVERAGE(D44:E44)</f>
        <v>15.485564304461942</v>
      </c>
      <c r="F45" s="16">
        <f>-FS!F5/AVERAGE(E44:F44)</f>
        <v>15.256701499318492</v>
      </c>
      <c r="G45" s="16">
        <f>365/G46</f>
        <v>15.208333333333334</v>
      </c>
      <c r="H45" s="16">
        <f t="shared" ref="H45:K45" si="57">365/H46</f>
        <v>15.208333333333334</v>
      </c>
      <c r="I45" s="16">
        <f t="shared" si="57"/>
        <v>15.208333333333334</v>
      </c>
      <c r="J45" s="16">
        <f t="shared" si="57"/>
        <v>15.208333333333334</v>
      </c>
      <c r="K45" s="16">
        <f t="shared" si="57"/>
        <v>15.208333333333334</v>
      </c>
    </row>
    <row r="46" spans="1:11" x14ac:dyDescent="0.25">
      <c r="B46" s="15" t="s">
        <v>40</v>
      </c>
      <c r="C46" s="24"/>
      <c r="D46" s="16">
        <f>365/D45</f>
        <v>25.300000000000004</v>
      </c>
      <c r="E46" s="16">
        <f>365/E45</f>
        <v>23.570338983050849</v>
      </c>
      <c r="F46" s="16">
        <f>365/F45</f>
        <v>23.923913043478262</v>
      </c>
      <c r="G46" s="56">
        <v>24</v>
      </c>
      <c r="H46" s="56">
        <v>24</v>
      </c>
      <c r="I46" s="56">
        <v>24</v>
      </c>
      <c r="J46" s="56">
        <v>24</v>
      </c>
      <c r="K46" s="56">
        <v>24</v>
      </c>
    </row>
    <row r="47" spans="1:11" x14ac:dyDescent="0.25">
      <c r="B47" s="1" t="s">
        <v>26</v>
      </c>
      <c r="C47" s="32"/>
      <c r="D47" s="32">
        <f>+FS!D40</f>
        <v>3.1</v>
      </c>
      <c r="E47" s="32">
        <f>+FS!E40</f>
        <v>3.5</v>
      </c>
      <c r="F47" s="32">
        <f>+FS!F40</f>
        <v>3.6</v>
      </c>
      <c r="G47" s="56">
        <f>+F47</f>
        <v>3.6</v>
      </c>
      <c r="H47" s="56">
        <f t="shared" ref="H47:K47" si="58">+G47</f>
        <v>3.6</v>
      </c>
      <c r="I47" s="56">
        <f t="shared" si="58"/>
        <v>3.6</v>
      </c>
      <c r="J47" s="56">
        <f t="shared" si="58"/>
        <v>3.6</v>
      </c>
      <c r="K47" s="56">
        <f t="shared" si="58"/>
        <v>3.6</v>
      </c>
    </row>
    <row r="48" spans="1:11" x14ac:dyDescent="0.25">
      <c r="B48" s="1" t="s">
        <v>28</v>
      </c>
      <c r="C48" s="32"/>
      <c r="D48" s="32">
        <f>+FS!D43</f>
        <v>5.4</v>
      </c>
      <c r="E48" s="32">
        <f>+FS!E43</f>
        <v>5.8</v>
      </c>
      <c r="F48" s="32">
        <f>+FS!F43</f>
        <v>6.2</v>
      </c>
      <c r="G48" s="56">
        <f t="shared" ref="G48:K48" si="59">+F48</f>
        <v>6.2</v>
      </c>
      <c r="H48" s="56">
        <f t="shared" si="59"/>
        <v>6.2</v>
      </c>
      <c r="I48" s="56">
        <f t="shared" si="59"/>
        <v>6.2</v>
      </c>
      <c r="J48" s="56">
        <f t="shared" si="59"/>
        <v>6.2</v>
      </c>
      <c r="K48" s="56">
        <f t="shared" si="59"/>
        <v>6.2</v>
      </c>
    </row>
    <row r="49" spans="2:11" x14ac:dyDescent="0.25">
      <c r="B49" s="1" t="s">
        <v>32</v>
      </c>
      <c r="C49" s="32"/>
      <c r="D49" s="32">
        <f>+FS!D46</f>
        <v>100</v>
      </c>
      <c r="E49" s="32">
        <f>+FS!E46</f>
        <v>100</v>
      </c>
      <c r="F49" s="32">
        <f>+FS!F46</f>
        <v>100</v>
      </c>
      <c r="G49" s="56">
        <f t="shared" ref="G49:K49" si="60">+F49</f>
        <v>100</v>
      </c>
      <c r="H49" s="56">
        <f t="shared" si="60"/>
        <v>100</v>
      </c>
      <c r="I49" s="56">
        <f t="shared" si="60"/>
        <v>100</v>
      </c>
      <c r="J49" s="56">
        <f t="shared" si="60"/>
        <v>100</v>
      </c>
      <c r="K49" s="56">
        <f t="shared" si="60"/>
        <v>100</v>
      </c>
    </row>
    <row r="51" spans="2:11" x14ac:dyDescent="0.25">
      <c r="B51" s="1" t="s">
        <v>80</v>
      </c>
      <c r="C51" s="16"/>
      <c r="D51" s="16">
        <f t="shared" ref="D51:K51" si="61">+D35+D38-D44</f>
        <v>144.84328767123287</v>
      </c>
      <c r="E51" s="16">
        <f t="shared" si="61"/>
        <v>156.12078904109589</v>
      </c>
      <c r="F51" s="16">
        <f t="shared" si="61"/>
        <v>171.68466575342461</v>
      </c>
      <c r="G51" s="16">
        <f t="shared" si="61"/>
        <v>190.11880021537971</v>
      </c>
      <c r="H51" s="16">
        <f t="shared" si="61"/>
        <v>217.35477012640342</v>
      </c>
      <c r="I51" s="16">
        <f t="shared" si="61"/>
        <v>247.20296666516288</v>
      </c>
      <c r="J51" s="16">
        <f t="shared" si="61"/>
        <v>279.88054599735079</v>
      </c>
      <c r="K51" s="16">
        <f t="shared" si="61"/>
        <v>315.62142565740191</v>
      </c>
    </row>
    <row r="52" spans="2:11" x14ac:dyDescent="0.25">
      <c r="B52" s="6" t="s">
        <v>100</v>
      </c>
      <c r="C52" s="6"/>
      <c r="D52" s="17">
        <f>-D51+C51</f>
        <v>-144.84328767123287</v>
      </c>
      <c r="E52" s="17">
        <f t="shared" ref="E52:K52" si="62">-E51+D51</f>
        <v>-11.277501369863018</v>
      </c>
      <c r="F52" s="17">
        <f t="shared" si="62"/>
        <v>-15.563876712328721</v>
      </c>
      <c r="G52" s="17">
        <f t="shared" si="62"/>
        <v>-18.434134461955097</v>
      </c>
      <c r="H52" s="17">
        <f t="shared" si="62"/>
        <v>-27.235969911023716</v>
      </c>
      <c r="I52" s="17">
        <f t="shared" si="62"/>
        <v>-29.848196538759453</v>
      </c>
      <c r="J52" s="17">
        <f t="shared" si="62"/>
        <v>-32.677579332187918</v>
      </c>
      <c r="K52" s="17">
        <f t="shared" si="62"/>
        <v>-35.740879660051121</v>
      </c>
    </row>
    <row r="54" spans="2:11" x14ac:dyDescent="0.25">
      <c r="B54" s="2" t="s">
        <v>83</v>
      </c>
      <c r="C54" s="14"/>
      <c r="D54" s="14"/>
      <c r="E54" s="14"/>
      <c r="F54" s="14"/>
    </row>
    <row r="55" spans="2:11" x14ac:dyDescent="0.25">
      <c r="B55" s="1" t="s">
        <v>79</v>
      </c>
      <c r="C55" s="7"/>
      <c r="D55" s="97">
        <f>+D56/D26</f>
        <v>0.6</v>
      </c>
      <c r="E55" s="97">
        <f t="shared" ref="E55:F55" si="63">+E56/E26</f>
        <v>0.6</v>
      </c>
      <c r="F55" s="97">
        <f t="shared" si="63"/>
        <v>0.6</v>
      </c>
      <c r="G55" s="46">
        <f>+F55</f>
        <v>0.6</v>
      </c>
      <c r="H55" s="46">
        <f t="shared" ref="H55:K55" si="64">+G55</f>
        <v>0.6</v>
      </c>
      <c r="I55" s="46">
        <f t="shared" si="64"/>
        <v>0.6</v>
      </c>
      <c r="J55" s="46">
        <f t="shared" si="64"/>
        <v>0.6</v>
      </c>
      <c r="K55" s="46">
        <f t="shared" si="64"/>
        <v>0.6</v>
      </c>
    </row>
    <row r="56" spans="2:11" x14ac:dyDescent="0.25">
      <c r="B56" s="12" t="s">
        <v>66</v>
      </c>
      <c r="C56" s="18"/>
      <c r="D56" s="70">
        <v>91.532399999999996</v>
      </c>
      <c r="E56" s="70">
        <v>116.70021633739702</v>
      </c>
      <c r="F56" s="70">
        <v>141.80011077503789</v>
      </c>
      <c r="G56" s="18">
        <f>+G55*FS!G14</f>
        <v>174.77421574630498</v>
      </c>
      <c r="H56" s="18">
        <f>+H55*FS!H14</f>
        <v>207.20311478132632</v>
      </c>
      <c r="I56" s="18">
        <f>+I55*FS!I14</f>
        <v>248.98871635559644</v>
      </c>
      <c r="J56" s="18">
        <f>+J55*FS!J14</f>
        <v>292.29306612606337</v>
      </c>
      <c r="K56" s="18">
        <f>+K55*FS!K14</f>
        <v>339.94640679973071</v>
      </c>
    </row>
    <row r="57" spans="2:11" x14ac:dyDescent="0.25">
      <c r="B57" s="22"/>
      <c r="C57" s="23"/>
      <c r="D57" s="23"/>
      <c r="E57" s="23"/>
      <c r="F57" s="23"/>
    </row>
    <row r="58" spans="2:11" x14ac:dyDescent="0.25">
      <c r="B58" s="2" t="s">
        <v>33</v>
      </c>
      <c r="C58" s="14"/>
      <c r="D58" s="14"/>
      <c r="E58" s="14"/>
      <c r="F58" s="14"/>
    </row>
    <row r="59" spans="2:11" x14ac:dyDescent="0.25">
      <c r="B59" s="1" t="s">
        <v>81</v>
      </c>
      <c r="C59" s="16"/>
      <c r="D59" s="16"/>
      <c r="E59" s="16">
        <f>+D62</f>
        <v>311.02159999999998</v>
      </c>
      <c r="F59" s="16">
        <f>+E62</f>
        <v>388.82174422493131</v>
      </c>
      <c r="G59" s="16">
        <f t="shared" ref="G59:K59" si="65">+F62</f>
        <v>483.35515140828988</v>
      </c>
      <c r="H59" s="16">
        <f t="shared" si="65"/>
        <v>599.87129523915985</v>
      </c>
      <c r="I59" s="16">
        <f t="shared" si="65"/>
        <v>738.00670509337738</v>
      </c>
      <c r="J59" s="16">
        <f t="shared" si="65"/>
        <v>903.99918266377506</v>
      </c>
      <c r="K59" s="16">
        <f t="shared" si="65"/>
        <v>1098.8612267478172</v>
      </c>
    </row>
    <row r="60" spans="2:11" x14ac:dyDescent="0.25">
      <c r="B60" s="1" t="s">
        <v>7</v>
      </c>
      <c r="C60" s="16"/>
      <c r="D60" s="16"/>
      <c r="E60" s="16">
        <f t="shared" ref="E60:K60" si="66">+E26</f>
        <v>194.50036056232838</v>
      </c>
      <c r="F60" s="16">
        <f t="shared" si="66"/>
        <v>236.3335179583965</v>
      </c>
      <c r="G60" s="16">
        <f t="shared" si="66"/>
        <v>291.29035957717497</v>
      </c>
      <c r="H60" s="16">
        <f t="shared" si="66"/>
        <v>345.33852463554388</v>
      </c>
      <c r="I60" s="16">
        <f t="shared" si="66"/>
        <v>414.98119392599409</v>
      </c>
      <c r="J60" s="16">
        <f t="shared" si="66"/>
        <v>487.15511021010559</v>
      </c>
      <c r="K60" s="16">
        <f t="shared" si="66"/>
        <v>566.57734466621787</v>
      </c>
    </row>
    <row r="61" spans="2:11" x14ac:dyDescent="0.25">
      <c r="B61" s="1" t="s">
        <v>66</v>
      </c>
      <c r="C61" s="16"/>
      <c r="D61" s="16"/>
      <c r="E61" s="16">
        <f>-E56</f>
        <v>-116.70021633739702</v>
      </c>
      <c r="F61" s="16">
        <f>-F56</f>
        <v>-141.80011077503789</v>
      </c>
      <c r="G61" s="16">
        <f t="shared" ref="G61:K61" si="67">-G56</f>
        <v>-174.77421574630498</v>
      </c>
      <c r="H61" s="16">
        <f t="shared" si="67"/>
        <v>-207.20311478132632</v>
      </c>
      <c r="I61" s="16">
        <f t="shared" si="67"/>
        <v>-248.98871635559644</v>
      </c>
      <c r="J61" s="16">
        <f t="shared" si="67"/>
        <v>-292.29306612606337</v>
      </c>
      <c r="K61" s="16">
        <f t="shared" si="67"/>
        <v>-339.94640679973071</v>
      </c>
    </row>
    <row r="62" spans="2:11" x14ac:dyDescent="0.25">
      <c r="B62" s="12" t="s">
        <v>82</v>
      </c>
      <c r="C62" s="18"/>
      <c r="D62" s="69">
        <f>+FS!D47</f>
        <v>311.02159999999998</v>
      </c>
      <c r="E62" s="18">
        <f>+E59+E60+E61</f>
        <v>388.82174422493131</v>
      </c>
      <c r="F62" s="18">
        <f>+F59+F60+F61</f>
        <v>483.35515140828988</v>
      </c>
      <c r="G62" s="18">
        <f t="shared" ref="G62:K62" si="68">+G59+G60+G61</f>
        <v>599.87129523915985</v>
      </c>
      <c r="H62" s="18">
        <f t="shared" si="68"/>
        <v>738.00670509337738</v>
      </c>
      <c r="I62" s="18">
        <f t="shared" si="68"/>
        <v>903.99918266377506</v>
      </c>
      <c r="J62" s="18">
        <f t="shared" si="68"/>
        <v>1098.8612267478172</v>
      </c>
      <c r="K62" s="18">
        <f t="shared" si="68"/>
        <v>1325.4921646143043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78"/>
  <sheetViews>
    <sheetView zoomScaleNormal="100" workbookViewId="0">
      <pane xSplit="2" ySplit="2" topLeftCell="C33" activePane="bottomRight" state="frozen"/>
      <selection pane="topRight" activeCell="C1" sqref="C1"/>
      <selection pane="bottomLeft" activeCell="A3" sqref="A3"/>
      <selection pane="bottomRight" activeCell="K68" sqref="K68"/>
    </sheetView>
  </sheetViews>
  <sheetFormatPr defaultRowHeight="15" x14ac:dyDescent="0.25"/>
  <cols>
    <col min="1" max="1" width="5.28515625" style="1" customWidth="1"/>
    <col min="2" max="2" width="41" style="1" bestFit="1" customWidth="1"/>
    <col min="3" max="3" width="3.5703125" style="1" customWidth="1"/>
    <col min="4" max="16384" width="9.140625" style="1"/>
  </cols>
  <sheetData>
    <row r="2" spans="1:11" x14ac:dyDescent="0.25">
      <c r="C2" s="3"/>
      <c r="D2" s="3">
        <v>2017</v>
      </c>
      <c r="E2" s="3">
        <f t="shared" ref="E2:K2" si="0">+D2+1</f>
        <v>2018</v>
      </c>
      <c r="F2" s="3">
        <f t="shared" si="0"/>
        <v>2019</v>
      </c>
      <c r="G2" s="4">
        <f t="shared" si="0"/>
        <v>2020</v>
      </c>
      <c r="H2" s="4">
        <f t="shared" si="0"/>
        <v>2021</v>
      </c>
      <c r="I2" s="4">
        <f t="shared" si="0"/>
        <v>2022</v>
      </c>
      <c r="J2" s="4">
        <f t="shared" si="0"/>
        <v>2023</v>
      </c>
      <c r="K2" s="4">
        <f t="shared" si="0"/>
        <v>2024</v>
      </c>
    </row>
    <row r="3" spans="1:11" x14ac:dyDescent="0.25">
      <c r="A3" s="73">
        <v>1</v>
      </c>
      <c r="B3" s="73" t="s">
        <v>0</v>
      </c>
      <c r="C3" s="74"/>
      <c r="D3" s="74"/>
      <c r="E3" s="74"/>
      <c r="F3" s="74"/>
      <c r="G3" s="75"/>
      <c r="H3" s="75"/>
      <c r="I3" s="75"/>
      <c r="J3" s="75"/>
      <c r="K3" s="75"/>
    </row>
    <row r="4" spans="1:11" x14ac:dyDescent="0.25">
      <c r="B4" s="1" t="s">
        <v>90</v>
      </c>
      <c r="C4" s="19"/>
      <c r="D4" s="19">
        <v>1200</v>
      </c>
      <c r="E4" s="19">
        <v>1416</v>
      </c>
      <c r="F4" s="19">
        <v>1628.3999999999999</v>
      </c>
      <c r="G4" s="32">
        <f>+Assumptions!G3</f>
        <v>1891.1521678384663</v>
      </c>
      <c r="H4" s="32">
        <f>+Assumptions!H3</f>
        <v>2162.0741570476584</v>
      </c>
      <c r="I4" s="32">
        <f>+Assumptions!I3</f>
        <v>2458.9805204709287</v>
      </c>
      <c r="J4" s="32">
        <f>+Assumptions!J3</f>
        <v>2784.0313567047533</v>
      </c>
      <c r="K4" s="32">
        <f>+Assumptions!K3</f>
        <v>3139.5534932477312</v>
      </c>
    </row>
    <row r="5" spans="1:11" x14ac:dyDescent="0.25">
      <c r="B5" s="1" t="s">
        <v>1</v>
      </c>
      <c r="C5" s="19"/>
      <c r="D5" s="19">
        <v>-702</v>
      </c>
      <c r="E5" s="19">
        <v>-828.36</v>
      </c>
      <c r="F5" s="19">
        <v>-952.61399999999992</v>
      </c>
      <c r="G5" s="32">
        <f>+Assumptions!G12</f>
        <v>-1106.3240181855028</v>
      </c>
      <c r="H5" s="32">
        <f>+Assumptions!H12</f>
        <v>-1264.8133818728802</v>
      </c>
      <c r="I5" s="32">
        <f>+Assumptions!I12</f>
        <v>-1438.5036044754934</v>
      </c>
      <c r="J5" s="32">
        <f>+Assumptions!J12</f>
        <v>-1628.6583436722808</v>
      </c>
      <c r="K5" s="32">
        <f>+Assumptions!K12</f>
        <v>-1836.6387935499229</v>
      </c>
    </row>
    <row r="6" spans="1:11" x14ac:dyDescent="0.25">
      <c r="B6" s="6" t="s">
        <v>2</v>
      </c>
      <c r="C6" s="17"/>
      <c r="D6" s="17">
        <f t="shared" ref="D6:J6" si="1">+D4+D5</f>
        <v>498</v>
      </c>
      <c r="E6" s="17">
        <f t="shared" si="1"/>
        <v>587.64</v>
      </c>
      <c r="F6" s="17">
        <f t="shared" si="1"/>
        <v>675.78599999999994</v>
      </c>
      <c r="G6" s="40">
        <f t="shared" si="1"/>
        <v>784.82814965296348</v>
      </c>
      <c r="H6" s="40">
        <f t="shared" si="1"/>
        <v>897.26077517477825</v>
      </c>
      <c r="I6" s="40">
        <f t="shared" si="1"/>
        <v>1020.4769159954353</v>
      </c>
      <c r="J6" s="40">
        <f t="shared" si="1"/>
        <v>1155.3730130324725</v>
      </c>
      <c r="K6" s="40">
        <f t="shared" ref="K6" si="2">+K4+K5</f>
        <v>1302.9146996978084</v>
      </c>
    </row>
    <row r="7" spans="1:11" x14ac:dyDescent="0.25">
      <c r="B7" s="1" t="s">
        <v>8</v>
      </c>
      <c r="C7" s="19"/>
      <c r="D7" s="19">
        <v>-85.199999999999989</v>
      </c>
      <c r="E7" s="19">
        <v>-99.827999999999989</v>
      </c>
      <c r="F7" s="19">
        <v>-113.988</v>
      </c>
      <c r="G7" s="32">
        <f>+Assumptions!G15</f>
        <v>-132.38065174869266</v>
      </c>
      <c r="H7" s="32">
        <f>+Assumptions!H15</f>
        <v>-151.3451909933361</v>
      </c>
      <c r="I7" s="32">
        <f>+Assumptions!I15</f>
        <v>-172.12863643296504</v>
      </c>
      <c r="J7" s="32">
        <f>+Assumptions!J15</f>
        <v>-194.88219496933274</v>
      </c>
      <c r="K7" s="32">
        <f>+Assumptions!K15</f>
        <v>-219.7687445273412</v>
      </c>
    </row>
    <row r="8" spans="1:11" x14ac:dyDescent="0.25">
      <c r="B8" s="1" t="s">
        <v>9</v>
      </c>
      <c r="C8" s="19"/>
      <c r="D8" s="19">
        <v>-200.20000000000002</v>
      </c>
      <c r="E8" s="19">
        <v>-214.21400000000003</v>
      </c>
      <c r="F8" s="19">
        <v>-224.92470000000003</v>
      </c>
      <c r="G8" s="32">
        <f>+Assumptions!G17</f>
        <v>-236.17093500000004</v>
      </c>
      <c r="H8" s="32">
        <f>+Assumptions!H17</f>
        <v>-247.97948175000005</v>
      </c>
      <c r="I8" s="32">
        <f>+Assumptions!I17</f>
        <v>-260.37845583750004</v>
      </c>
      <c r="J8" s="32">
        <f>+Assumptions!J17</f>
        <v>-273.39737862937505</v>
      </c>
      <c r="K8" s="32">
        <f>+Assumptions!K17</f>
        <v>-287.06724756084384</v>
      </c>
    </row>
    <row r="9" spans="1:11" x14ac:dyDescent="0.25">
      <c r="B9" s="1" t="s">
        <v>84</v>
      </c>
      <c r="C9" s="19"/>
      <c r="D9" s="19">
        <f>+PPE!D6</f>
        <v>-10</v>
      </c>
      <c r="E9" s="19">
        <f>+PPE!E6</f>
        <v>-17.2</v>
      </c>
      <c r="F9" s="19">
        <f>+PPE!F6</f>
        <v>-25.695999999999998</v>
      </c>
      <c r="G9" s="32">
        <f>+Assumptions!G19</f>
        <v>-46.813313007030786</v>
      </c>
      <c r="H9" s="32">
        <f>+Assumptions!H19</f>
        <v>-59.785757949316732</v>
      </c>
      <c r="I9" s="32">
        <f>+Assumptions!I19</f>
        <v>-64.539641072142317</v>
      </c>
      <c r="J9" s="32">
        <f>+Assumptions!J19</f>
        <v>-74.043829212370838</v>
      </c>
      <c r="K9" s="32">
        <f>+Assumptions!K19</f>
        <v>-84.385150171857219</v>
      </c>
    </row>
    <row r="10" spans="1:11" x14ac:dyDescent="0.25">
      <c r="B10" s="6" t="s">
        <v>3</v>
      </c>
      <c r="C10" s="17"/>
      <c r="D10" s="17">
        <f t="shared" ref="D10:J10" si="3">+D6+D7+D8+D9</f>
        <v>202.6</v>
      </c>
      <c r="E10" s="17">
        <f t="shared" si="3"/>
        <v>256.39799999999997</v>
      </c>
      <c r="F10" s="17">
        <f t="shared" si="3"/>
        <v>311.17729999999995</v>
      </c>
      <c r="G10" s="40">
        <f t="shared" si="3"/>
        <v>369.46324989723996</v>
      </c>
      <c r="H10" s="40">
        <f t="shared" si="3"/>
        <v>438.15034448212532</v>
      </c>
      <c r="I10" s="40">
        <f t="shared" si="3"/>
        <v>523.43018265282785</v>
      </c>
      <c r="J10" s="40">
        <f t="shared" si="3"/>
        <v>613.04961022139378</v>
      </c>
      <c r="K10" s="40">
        <f t="shared" ref="K10" si="4">+K6+K7+K8+K9</f>
        <v>711.69355743776623</v>
      </c>
    </row>
    <row r="11" spans="1:11" x14ac:dyDescent="0.25">
      <c r="B11" s="1" t="s">
        <v>6</v>
      </c>
      <c r="C11" s="19"/>
      <c r="D11" s="19">
        <f>+'Debt Schedule'!D21</f>
        <v>-5.3999999999999995</v>
      </c>
      <c r="E11" s="19">
        <f>+'Debt Schedule'!E21</f>
        <v>-4.4420594376715759</v>
      </c>
      <c r="F11" s="19">
        <f>+'Debt Schedule'!F21</f>
        <v>-3.4266424416034469</v>
      </c>
      <c r="G11" s="32">
        <f>+Assumptions!G22</f>
        <v>-5.3503004257712297</v>
      </c>
      <c r="H11" s="32">
        <f>+Assumptions!H22</f>
        <v>-6.4771886876955111</v>
      </c>
      <c r="I11" s="32">
        <f>+Assumptions!I22</f>
        <v>-4.703690245335248</v>
      </c>
      <c r="J11" s="32">
        <f>+Assumptions!J22</f>
        <v>-4.105722458761794</v>
      </c>
      <c r="K11" s="32">
        <f>+Assumptions!K22</f>
        <v>-3.4718766049939327</v>
      </c>
    </row>
    <row r="12" spans="1:11" x14ac:dyDescent="0.25">
      <c r="B12" s="6" t="s">
        <v>5</v>
      </c>
      <c r="C12" s="17"/>
      <c r="D12" s="17">
        <f t="shared" ref="D12:J12" si="5">+D10+D11</f>
        <v>197.2</v>
      </c>
      <c r="E12" s="17">
        <f t="shared" si="5"/>
        <v>251.95594056232838</v>
      </c>
      <c r="F12" s="17">
        <f t="shared" si="5"/>
        <v>307.75065755839648</v>
      </c>
      <c r="G12" s="17">
        <f t="shared" si="5"/>
        <v>364.11294947146871</v>
      </c>
      <c r="H12" s="17">
        <f t="shared" si="5"/>
        <v>431.67315579442982</v>
      </c>
      <c r="I12" s="17">
        <f t="shared" si="5"/>
        <v>518.72649240749263</v>
      </c>
      <c r="J12" s="17">
        <f t="shared" si="5"/>
        <v>608.94388776263202</v>
      </c>
      <c r="K12" s="17">
        <f t="shared" ref="K12" si="6">+K10+K11</f>
        <v>708.22168083277234</v>
      </c>
    </row>
    <row r="13" spans="1:11" x14ac:dyDescent="0.25">
      <c r="B13" s="1" t="s">
        <v>4</v>
      </c>
      <c r="C13" s="19"/>
      <c r="D13" s="19">
        <v>-44.645999999999994</v>
      </c>
      <c r="E13" s="19">
        <v>-57.455579999999991</v>
      </c>
      <c r="F13" s="19">
        <v>-71.417139599999999</v>
      </c>
      <c r="G13" s="32">
        <f>+Assumptions!G24</f>
        <v>-72.822589894293742</v>
      </c>
      <c r="H13" s="32">
        <f>+Assumptions!H24</f>
        <v>-86.334631158885969</v>
      </c>
      <c r="I13" s="32">
        <f>+Assumptions!I24</f>
        <v>-103.74529848149854</v>
      </c>
      <c r="J13" s="32">
        <f>+Assumptions!J24</f>
        <v>-121.78877755252641</v>
      </c>
      <c r="K13" s="32">
        <f>+Assumptions!K24</f>
        <v>-141.64433616655447</v>
      </c>
    </row>
    <row r="14" spans="1:11" x14ac:dyDescent="0.25">
      <c r="B14" s="12" t="s">
        <v>7</v>
      </c>
      <c r="C14" s="18"/>
      <c r="D14" s="18">
        <f t="shared" ref="D14:J14" si="7">+D12+D13</f>
        <v>152.554</v>
      </c>
      <c r="E14" s="18">
        <f t="shared" si="7"/>
        <v>194.50036056232838</v>
      </c>
      <c r="F14" s="18">
        <f t="shared" si="7"/>
        <v>236.3335179583965</v>
      </c>
      <c r="G14" s="18">
        <f t="shared" si="7"/>
        <v>291.29035957717497</v>
      </c>
      <c r="H14" s="18">
        <f t="shared" si="7"/>
        <v>345.33852463554388</v>
      </c>
      <c r="I14" s="18">
        <f t="shared" si="7"/>
        <v>414.98119392599409</v>
      </c>
      <c r="J14" s="18">
        <f t="shared" si="7"/>
        <v>487.15511021010559</v>
      </c>
      <c r="K14" s="18">
        <f t="shared" ref="K14" si="8">+K12+K13</f>
        <v>566.57734466621787</v>
      </c>
    </row>
    <row r="15" spans="1:11" x14ac:dyDescent="0.25">
      <c r="C15" s="16"/>
      <c r="D15" s="16"/>
      <c r="E15" s="16"/>
      <c r="F15" s="16"/>
      <c r="G15" s="16"/>
      <c r="H15" s="16"/>
      <c r="I15" s="16"/>
      <c r="J15" s="16"/>
      <c r="K15" s="16"/>
    </row>
    <row r="16" spans="1:11" x14ac:dyDescent="0.25">
      <c r="B16" s="1" t="s">
        <v>3</v>
      </c>
      <c r="C16" s="16"/>
      <c r="D16" s="16">
        <f t="shared" ref="D16:J16" si="9">+D10</f>
        <v>202.6</v>
      </c>
      <c r="E16" s="16">
        <f t="shared" si="9"/>
        <v>256.39799999999997</v>
      </c>
      <c r="F16" s="16">
        <f t="shared" si="9"/>
        <v>311.17729999999995</v>
      </c>
      <c r="G16" s="16">
        <f t="shared" si="9"/>
        <v>369.46324989723996</v>
      </c>
      <c r="H16" s="16">
        <f t="shared" si="9"/>
        <v>438.15034448212532</v>
      </c>
      <c r="I16" s="16">
        <f t="shared" si="9"/>
        <v>523.43018265282785</v>
      </c>
      <c r="J16" s="16">
        <f t="shared" si="9"/>
        <v>613.04961022139378</v>
      </c>
      <c r="K16" s="16">
        <f t="shared" ref="K16" si="10">+K10</f>
        <v>711.69355743776623</v>
      </c>
    </row>
    <row r="17" spans="1:12" x14ac:dyDescent="0.25">
      <c r="B17" s="1" t="s">
        <v>84</v>
      </c>
      <c r="C17" s="16"/>
      <c r="D17" s="16">
        <f t="shared" ref="D17:J17" si="11">-D9</f>
        <v>10</v>
      </c>
      <c r="E17" s="16">
        <f t="shared" si="11"/>
        <v>17.2</v>
      </c>
      <c r="F17" s="16">
        <f t="shared" si="11"/>
        <v>25.695999999999998</v>
      </c>
      <c r="G17" s="16">
        <f t="shared" si="11"/>
        <v>46.813313007030786</v>
      </c>
      <c r="H17" s="16">
        <f t="shared" si="11"/>
        <v>59.785757949316732</v>
      </c>
      <c r="I17" s="16">
        <f t="shared" si="11"/>
        <v>64.539641072142317</v>
      </c>
      <c r="J17" s="16">
        <f t="shared" si="11"/>
        <v>74.043829212370838</v>
      </c>
      <c r="K17" s="16">
        <f t="shared" ref="K17" si="12">-K9</f>
        <v>84.385150171857219</v>
      </c>
    </row>
    <row r="18" spans="1:12" x14ac:dyDescent="0.25">
      <c r="B18" s="12" t="s">
        <v>86</v>
      </c>
      <c r="C18" s="18"/>
      <c r="D18" s="18">
        <f t="shared" ref="D18:J18" si="13">+D16+D17</f>
        <v>212.6</v>
      </c>
      <c r="E18" s="18">
        <f t="shared" si="13"/>
        <v>273.59799999999996</v>
      </c>
      <c r="F18" s="18">
        <f t="shared" si="13"/>
        <v>336.87329999999997</v>
      </c>
      <c r="G18" s="18">
        <f t="shared" si="13"/>
        <v>416.27656290427075</v>
      </c>
      <c r="H18" s="18">
        <f t="shared" si="13"/>
        <v>497.93610243144207</v>
      </c>
      <c r="I18" s="18">
        <f t="shared" si="13"/>
        <v>587.96982372497018</v>
      </c>
      <c r="J18" s="18">
        <f t="shared" si="13"/>
        <v>687.09343943376462</v>
      </c>
      <c r="K18" s="18">
        <f t="shared" ref="K18" si="14">+K16+K17</f>
        <v>796.07870760962351</v>
      </c>
    </row>
    <row r="20" spans="1:12" x14ac:dyDescent="0.25">
      <c r="B20" s="2" t="s">
        <v>94</v>
      </c>
    </row>
    <row r="21" spans="1:12" x14ac:dyDescent="0.25">
      <c r="B21" s="1" t="s">
        <v>95</v>
      </c>
      <c r="C21" s="8"/>
      <c r="D21" s="8" t="str">
        <f t="shared" ref="D21:K21" si="15">IFERROR(D4/C4-1,"N/A")</f>
        <v>N/A</v>
      </c>
      <c r="E21" s="8">
        <f t="shared" si="15"/>
        <v>0.17999999999999994</v>
      </c>
      <c r="F21" s="8">
        <f t="shared" si="15"/>
        <v>0.14999999999999991</v>
      </c>
      <c r="G21" s="8">
        <f t="shared" si="15"/>
        <v>0.16135603527294684</v>
      </c>
      <c r="H21" s="8">
        <f t="shared" si="15"/>
        <v>0.14325763617363929</v>
      </c>
      <c r="I21" s="8">
        <f t="shared" si="15"/>
        <v>0.1373247825267474</v>
      </c>
      <c r="J21" s="8">
        <f t="shared" si="15"/>
        <v>0.13218926849065604</v>
      </c>
      <c r="K21" s="8">
        <f t="shared" si="15"/>
        <v>0.12770047854769229</v>
      </c>
    </row>
    <row r="22" spans="1:12" x14ac:dyDescent="0.25">
      <c r="B22" s="1" t="s">
        <v>96</v>
      </c>
      <c r="C22" s="7"/>
      <c r="D22" s="7">
        <f t="shared" ref="D22:K22" si="16">+D6/D4</f>
        <v>0.41499999999999998</v>
      </c>
      <c r="E22" s="7">
        <f t="shared" si="16"/>
        <v>0.41499999999999998</v>
      </c>
      <c r="F22" s="7">
        <f t="shared" si="16"/>
        <v>0.41499999999999998</v>
      </c>
      <c r="G22" s="7">
        <f t="shared" si="16"/>
        <v>0.41499999999999998</v>
      </c>
      <c r="H22" s="7">
        <f t="shared" si="16"/>
        <v>0.41499999999999998</v>
      </c>
      <c r="I22" s="7">
        <f t="shared" si="16"/>
        <v>0.41499999999999998</v>
      </c>
      <c r="J22" s="7">
        <f t="shared" si="16"/>
        <v>0.41499999999999998</v>
      </c>
      <c r="K22" s="7">
        <f t="shared" si="16"/>
        <v>0.41499999999999998</v>
      </c>
    </row>
    <row r="23" spans="1:12" x14ac:dyDescent="0.25">
      <c r="B23" s="1" t="s">
        <v>11</v>
      </c>
      <c r="C23" s="7"/>
      <c r="D23" s="7">
        <f t="shared" ref="D23:K23" si="17">+D10/D4</f>
        <v>0.16883333333333334</v>
      </c>
      <c r="E23" s="7">
        <f t="shared" si="17"/>
        <v>0.18107203389830506</v>
      </c>
      <c r="F23" s="7">
        <f t="shared" si="17"/>
        <v>0.1910938958486858</v>
      </c>
      <c r="G23" s="7">
        <f t="shared" si="17"/>
        <v>0.195364104581561</v>
      </c>
      <c r="H23" s="7">
        <f t="shared" si="17"/>
        <v>0.20265278277060836</v>
      </c>
      <c r="I23" s="7">
        <f t="shared" si="17"/>
        <v>0.21286471295534451</v>
      </c>
      <c r="J23" s="7">
        <f t="shared" si="17"/>
        <v>0.22020212119557953</v>
      </c>
      <c r="K23" s="7">
        <f t="shared" si="17"/>
        <v>0.22668623387638165</v>
      </c>
    </row>
    <row r="24" spans="1:12" x14ac:dyDescent="0.25">
      <c r="B24" s="1" t="s">
        <v>85</v>
      </c>
      <c r="C24" s="7"/>
      <c r="D24" s="7">
        <f t="shared" ref="D24:K24" si="18">+D18/D4</f>
        <v>0.17716666666666667</v>
      </c>
      <c r="E24" s="7">
        <f t="shared" si="18"/>
        <v>0.19321892655367229</v>
      </c>
      <c r="F24" s="7">
        <f t="shared" si="18"/>
        <v>0.20687380250552689</v>
      </c>
      <c r="G24" s="7">
        <f t="shared" si="18"/>
        <v>0.22011796299821984</v>
      </c>
      <c r="H24" s="7">
        <f t="shared" si="18"/>
        <v>0.23030482132554628</v>
      </c>
      <c r="I24" s="7">
        <f t="shared" si="18"/>
        <v>0.2391112165509818</v>
      </c>
      <c r="J24" s="7">
        <f t="shared" si="18"/>
        <v>0.24679802466270531</v>
      </c>
      <c r="K24" s="7">
        <f t="shared" si="18"/>
        <v>0.25356430757486942</v>
      </c>
    </row>
    <row r="25" spans="1:12" x14ac:dyDescent="0.25">
      <c r="B25" s="1" t="s">
        <v>97</v>
      </c>
      <c r="C25" s="8"/>
      <c r="D25" s="8" t="str">
        <f t="shared" ref="D25:K25" si="19">IFERROR(D8/C8-1,"N/A")</f>
        <v>N/A</v>
      </c>
      <c r="E25" s="8">
        <f t="shared" si="19"/>
        <v>7.0000000000000062E-2</v>
      </c>
      <c r="F25" s="8">
        <f t="shared" si="19"/>
        <v>5.0000000000000044E-2</v>
      </c>
      <c r="G25" s="8">
        <f t="shared" si="19"/>
        <v>5.0000000000000044E-2</v>
      </c>
      <c r="H25" s="8">
        <f t="shared" si="19"/>
        <v>5.0000000000000044E-2</v>
      </c>
      <c r="I25" s="8">
        <f t="shared" si="19"/>
        <v>5.0000000000000044E-2</v>
      </c>
      <c r="J25" s="8">
        <f t="shared" si="19"/>
        <v>5.0000000000000044E-2</v>
      </c>
      <c r="K25" s="8">
        <f t="shared" si="19"/>
        <v>5.0000000000000044E-2</v>
      </c>
    </row>
    <row r="26" spans="1:12" x14ac:dyDescent="0.25">
      <c r="B26" s="1" t="s">
        <v>98</v>
      </c>
      <c r="C26" s="7"/>
      <c r="D26" s="7">
        <f t="shared" ref="D26:K26" si="20">+D14/D4</f>
        <v>0.12712833333333334</v>
      </c>
      <c r="E26" s="7">
        <f t="shared" si="20"/>
        <v>0.13735901169655959</v>
      </c>
      <c r="F26" s="7">
        <f t="shared" si="20"/>
        <v>0.14513234952001752</v>
      </c>
      <c r="G26" s="7">
        <f t="shared" si="20"/>
        <v>0.15402798597117209</v>
      </c>
      <c r="H26" s="7">
        <f t="shared" si="20"/>
        <v>0.15972556885241546</v>
      </c>
      <c r="I26" s="7">
        <f t="shared" si="20"/>
        <v>0.16876148081340614</v>
      </c>
      <c r="J26" s="7">
        <f t="shared" si="20"/>
        <v>0.1749819049404365</v>
      </c>
      <c r="K26" s="7">
        <f t="shared" si="20"/>
        <v>0.18046430675086803</v>
      </c>
    </row>
    <row r="28" spans="1:12" x14ac:dyDescent="0.25">
      <c r="A28" s="73">
        <v>2</v>
      </c>
      <c r="B28" s="73" t="s">
        <v>14</v>
      </c>
      <c r="C28" s="74"/>
      <c r="D28" s="74">
        <v>2017</v>
      </c>
      <c r="E28" s="74">
        <f t="shared" ref="E28:K28" si="21">+D28+1</f>
        <v>2018</v>
      </c>
      <c r="F28" s="74">
        <f t="shared" si="21"/>
        <v>2019</v>
      </c>
      <c r="G28" s="75">
        <f t="shared" si="21"/>
        <v>2020</v>
      </c>
      <c r="H28" s="75">
        <f t="shared" si="21"/>
        <v>2021</v>
      </c>
      <c r="I28" s="75">
        <f t="shared" si="21"/>
        <v>2022</v>
      </c>
      <c r="J28" s="75">
        <f t="shared" si="21"/>
        <v>2023</v>
      </c>
      <c r="K28" s="75">
        <f t="shared" si="21"/>
        <v>2024</v>
      </c>
    </row>
    <row r="29" spans="1:12" x14ac:dyDescent="0.25">
      <c r="B29" s="1" t="s">
        <v>15</v>
      </c>
      <c r="C29" s="19"/>
      <c r="D29" s="19">
        <v>238.11263628995982</v>
      </c>
      <c r="E29" s="19">
        <v>263.83166254389266</v>
      </c>
      <c r="F29" s="19">
        <v>301.70615941771882</v>
      </c>
      <c r="G29" s="16">
        <f>+G77</f>
        <v>411.98172112391529</v>
      </c>
      <c r="H29" s="16">
        <f t="shared" ref="H29:K29" si="22">+H77</f>
        <v>528.24638693232509</v>
      </c>
      <c r="I29" s="16">
        <f t="shared" si="22"/>
        <v>645.19476364575348</v>
      </c>
      <c r="J29" s="16">
        <f t="shared" si="22"/>
        <v>787.33801934603821</v>
      </c>
      <c r="K29" s="16">
        <f t="shared" si="22"/>
        <v>917.22867951033402</v>
      </c>
      <c r="L29" s="16"/>
    </row>
    <row r="30" spans="1:12" x14ac:dyDescent="0.25">
      <c r="B30" s="1" t="s">
        <v>16</v>
      </c>
      <c r="C30" s="19"/>
      <c r="D30" s="19">
        <v>108.49315068493151</v>
      </c>
      <c r="E30" s="19">
        <v>120.26301369863013</v>
      </c>
      <c r="F30" s="19">
        <v>133.84109589041094</v>
      </c>
      <c r="G30" s="32">
        <f>+Assumptions!G35</f>
        <v>147.55267062944554</v>
      </c>
      <c r="H30" s="32">
        <f>+Assumptions!H35</f>
        <v>168.69071743492748</v>
      </c>
      <c r="I30" s="32">
        <f>+Assumptions!I35</f>
        <v>191.85613352095987</v>
      </c>
      <c r="J30" s="32">
        <f>+Assumptions!J35</f>
        <v>217.2174554665412</v>
      </c>
      <c r="K30" s="32">
        <f>+Assumptions!K35</f>
        <v>244.95622847853053</v>
      </c>
      <c r="L30" s="16"/>
    </row>
    <row r="31" spans="1:12" x14ac:dyDescent="0.25">
      <c r="B31" s="1" t="s">
        <v>17</v>
      </c>
      <c r="C31" s="19"/>
      <c r="D31" s="19">
        <v>85.009315068493152</v>
      </c>
      <c r="E31" s="19">
        <v>94.183397260273978</v>
      </c>
      <c r="F31" s="19">
        <v>104.39605479452054</v>
      </c>
      <c r="G31" s="32">
        <f>+Assumptions!G38</f>
        <v>115.31072256251518</v>
      </c>
      <c r="H31" s="32">
        <f>+Assumptions!H38</f>
        <v>131.82986410229543</v>
      </c>
      <c r="I31" s="32">
        <f>+Assumptions!I38</f>
        <v>149.93337152067383</v>
      </c>
      <c r="J31" s="32">
        <f>+Assumptions!J38</f>
        <v>169.75295422432944</v>
      </c>
      <c r="K31" s="32">
        <f>+Assumptions!K38</f>
        <v>191.43048771366082</v>
      </c>
      <c r="L31" s="16"/>
    </row>
    <row r="32" spans="1:12" x14ac:dyDescent="0.25">
      <c r="B32" s="1" t="s">
        <v>18</v>
      </c>
      <c r="C32" s="19"/>
      <c r="D32" s="19">
        <v>12</v>
      </c>
      <c r="E32" s="19">
        <v>11</v>
      </c>
      <c r="F32" s="19">
        <v>11</v>
      </c>
      <c r="G32" s="32">
        <f>+Assumptions!G41</f>
        <v>11</v>
      </c>
      <c r="H32" s="32">
        <f>+Assumptions!H41</f>
        <v>11</v>
      </c>
      <c r="I32" s="32">
        <f>+Assumptions!I41</f>
        <v>11</v>
      </c>
      <c r="J32" s="32">
        <f>+Assumptions!J41</f>
        <v>11</v>
      </c>
      <c r="K32" s="32">
        <f>+Assumptions!K41</f>
        <v>11</v>
      </c>
      <c r="L32" s="16"/>
    </row>
    <row r="33" spans="2:12" x14ac:dyDescent="0.25">
      <c r="B33" s="6" t="s">
        <v>19</v>
      </c>
      <c r="C33" s="17"/>
      <c r="D33" s="17">
        <f t="shared" ref="D33:G33" si="23">+D29+D30+D31+D32</f>
        <v>443.61510204338447</v>
      </c>
      <c r="E33" s="17">
        <f t="shared" si="23"/>
        <v>489.27807350279676</v>
      </c>
      <c r="F33" s="17">
        <f t="shared" si="23"/>
        <v>550.94331010265034</v>
      </c>
      <c r="G33" s="17">
        <f t="shared" si="23"/>
        <v>685.845114315876</v>
      </c>
      <c r="H33" s="17">
        <f t="shared" ref="H33:K33" si="24">+H29+H30+H31+H32</f>
        <v>839.76696846954803</v>
      </c>
      <c r="I33" s="17">
        <f t="shared" si="24"/>
        <v>997.98426868738727</v>
      </c>
      <c r="J33" s="17">
        <f t="shared" si="24"/>
        <v>1185.3084290369088</v>
      </c>
      <c r="K33" s="17">
        <f t="shared" si="24"/>
        <v>1364.6153957025253</v>
      </c>
      <c r="L33" s="16"/>
    </row>
    <row r="34" spans="2:12" x14ac:dyDescent="0.25">
      <c r="B34" s="1" t="s">
        <v>20</v>
      </c>
      <c r="C34" s="19"/>
      <c r="D34" s="19">
        <v>76</v>
      </c>
      <c r="E34" s="19">
        <v>101.27999999999999</v>
      </c>
      <c r="F34" s="19">
        <v>124.43599999999998</v>
      </c>
      <c r="G34" s="93">
        <f>+PPE!G7</f>
        <v>134.35725202812318</v>
      </c>
      <c r="H34" s="93">
        <f>+PPE!H7</f>
        <v>139.43371879023618</v>
      </c>
      <c r="I34" s="93">
        <f>+PPE!I7</f>
        <v>148.66349333222172</v>
      </c>
      <c r="J34" s="93">
        <f>+PPE!J7</f>
        <v>158.14060482099347</v>
      </c>
      <c r="K34" s="93">
        <f>+PPE!K7</f>
        <v>167.94205944656818</v>
      </c>
      <c r="L34" s="16"/>
    </row>
    <row r="35" spans="2:12" x14ac:dyDescent="0.25">
      <c r="B35" s="1" t="s">
        <v>21</v>
      </c>
      <c r="C35" s="19"/>
      <c r="D35" s="19">
        <v>15</v>
      </c>
      <c r="E35" s="19">
        <v>15</v>
      </c>
      <c r="F35" s="19">
        <v>15</v>
      </c>
      <c r="G35" s="32">
        <f>+Assumptions!G42</f>
        <v>15</v>
      </c>
      <c r="H35" s="32">
        <f>+Assumptions!H42</f>
        <v>15</v>
      </c>
      <c r="I35" s="32">
        <f>+Assumptions!I42</f>
        <v>15</v>
      </c>
      <c r="J35" s="32">
        <f>+Assumptions!J42</f>
        <v>15</v>
      </c>
      <c r="K35" s="32">
        <f>+Assumptions!K42</f>
        <v>15</v>
      </c>
      <c r="L35" s="16"/>
    </row>
    <row r="36" spans="2:12" x14ac:dyDescent="0.25">
      <c r="B36" s="1" t="s">
        <v>22</v>
      </c>
      <c r="C36" s="19"/>
      <c r="D36" s="19">
        <v>7.6</v>
      </c>
      <c r="E36" s="19">
        <v>8</v>
      </c>
      <c r="F36" s="19">
        <v>8.5</v>
      </c>
      <c r="G36" s="32">
        <f>+Assumptions!G43</f>
        <v>8.5</v>
      </c>
      <c r="H36" s="32">
        <f>+Assumptions!H43</f>
        <v>8.5</v>
      </c>
      <c r="I36" s="32">
        <f>+Assumptions!I43</f>
        <v>8.5</v>
      </c>
      <c r="J36" s="32">
        <f>+Assumptions!J43</f>
        <v>8.5</v>
      </c>
      <c r="K36" s="32">
        <f>+Assumptions!K43</f>
        <v>8.5</v>
      </c>
      <c r="L36" s="16"/>
    </row>
    <row r="37" spans="2:12" x14ac:dyDescent="0.25">
      <c r="B37" s="6" t="s">
        <v>24</v>
      </c>
      <c r="C37" s="17"/>
      <c r="D37" s="17">
        <f t="shared" ref="D37:G37" si="25">+D34+D35+D36</f>
        <v>98.6</v>
      </c>
      <c r="E37" s="17">
        <f t="shared" si="25"/>
        <v>124.27999999999999</v>
      </c>
      <c r="F37" s="17">
        <f t="shared" si="25"/>
        <v>147.93599999999998</v>
      </c>
      <c r="G37" s="17">
        <f t="shared" si="25"/>
        <v>157.85725202812318</v>
      </c>
      <c r="H37" s="17">
        <f t="shared" ref="H37:K37" si="26">+H34+H35+H36</f>
        <v>162.93371879023618</v>
      </c>
      <c r="I37" s="17">
        <f t="shared" si="26"/>
        <v>172.16349333222172</v>
      </c>
      <c r="J37" s="17">
        <f t="shared" si="26"/>
        <v>181.64060482099347</v>
      </c>
      <c r="K37" s="17">
        <f t="shared" si="26"/>
        <v>191.44205944656818</v>
      </c>
      <c r="L37" s="16"/>
    </row>
    <row r="38" spans="2:12" x14ac:dyDescent="0.25">
      <c r="B38" s="12" t="s">
        <v>23</v>
      </c>
      <c r="C38" s="18"/>
      <c r="D38" s="18">
        <f t="shared" ref="D38:G38" si="27">+D33+D37</f>
        <v>542.21510204338449</v>
      </c>
      <c r="E38" s="18">
        <f t="shared" si="27"/>
        <v>613.55807350279679</v>
      </c>
      <c r="F38" s="18">
        <f t="shared" si="27"/>
        <v>698.87931010265038</v>
      </c>
      <c r="G38" s="18">
        <f t="shared" si="27"/>
        <v>843.70236634399919</v>
      </c>
      <c r="H38" s="18">
        <f t="shared" ref="H38:K38" si="28">+H33+H37</f>
        <v>1002.7006872597842</v>
      </c>
      <c r="I38" s="18">
        <f t="shared" si="28"/>
        <v>1170.147762019609</v>
      </c>
      <c r="J38" s="18">
        <f t="shared" si="28"/>
        <v>1366.9490338579024</v>
      </c>
      <c r="K38" s="18">
        <f t="shared" si="28"/>
        <v>1556.0574551490936</v>
      </c>
      <c r="L38" s="16"/>
    </row>
    <row r="39" spans="2:12" x14ac:dyDescent="0.25">
      <c r="B39" s="1" t="s">
        <v>25</v>
      </c>
      <c r="C39" s="19"/>
      <c r="D39" s="19">
        <v>48.659178082191787</v>
      </c>
      <c r="E39" s="19">
        <v>58.325621917808213</v>
      </c>
      <c r="F39" s="19">
        <v>66.552484931506854</v>
      </c>
      <c r="G39" s="32">
        <f>+Assumptions!G44</f>
        <v>72.744592976581004</v>
      </c>
      <c r="H39" s="32">
        <f>+Assumptions!H44</f>
        <v>83.165811410819515</v>
      </c>
      <c r="I39" s="32">
        <f>+Assumptions!I44</f>
        <v>94.586538376470799</v>
      </c>
      <c r="J39" s="32">
        <f>+Assumptions!J44</f>
        <v>107.08986369351983</v>
      </c>
      <c r="K39" s="32">
        <f>+Assumptions!K44</f>
        <v>120.76529053478944</v>
      </c>
      <c r="L39" s="16"/>
    </row>
    <row r="40" spans="2:12" x14ac:dyDescent="0.25">
      <c r="B40" s="1" t="s">
        <v>26</v>
      </c>
      <c r="C40" s="19"/>
      <c r="D40" s="19">
        <v>3.1</v>
      </c>
      <c r="E40" s="19">
        <v>3.5</v>
      </c>
      <c r="F40" s="19">
        <v>3.6</v>
      </c>
      <c r="G40" s="32">
        <f>+Assumptions!G47</f>
        <v>3.6</v>
      </c>
      <c r="H40" s="32">
        <f>+Assumptions!H47</f>
        <v>3.6</v>
      </c>
      <c r="I40" s="32">
        <f>+Assumptions!I47</f>
        <v>3.6</v>
      </c>
      <c r="J40" s="32">
        <f>+Assumptions!J47</f>
        <v>3.6</v>
      </c>
      <c r="K40" s="32">
        <f>+Assumptions!K47</f>
        <v>3.6</v>
      </c>
      <c r="L40" s="16"/>
    </row>
    <row r="41" spans="2:12" x14ac:dyDescent="0.25">
      <c r="B41" s="6" t="s">
        <v>30</v>
      </c>
      <c r="C41" s="17"/>
      <c r="D41" s="17">
        <f t="shared" ref="D41:G41" si="29">+D39+D40</f>
        <v>51.759178082191788</v>
      </c>
      <c r="E41" s="17">
        <f t="shared" si="29"/>
        <v>61.825621917808213</v>
      </c>
      <c r="F41" s="17">
        <f t="shared" si="29"/>
        <v>70.152484931506848</v>
      </c>
      <c r="G41" s="17">
        <f t="shared" si="29"/>
        <v>76.344592976580998</v>
      </c>
      <c r="H41" s="17">
        <f t="shared" ref="H41:K41" si="30">+H39+H40</f>
        <v>86.765811410819509</v>
      </c>
      <c r="I41" s="17">
        <f t="shared" si="30"/>
        <v>98.186538376470793</v>
      </c>
      <c r="J41" s="17">
        <f t="shared" si="30"/>
        <v>110.68986369351983</v>
      </c>
      <c r="K41" s="17">
        <f t="shared" si="30"/>
        <v>124.36529053478944</v>
      </c>
      <c r="L41" s="16"/>
    </row>
    <row r="42" spans="2:12" x14ac:dyDescent="0.25">
      <c r="B42" s="1" t="s">
        <v>27</v>
      </c>
      <c r="C42" s="19"/>
      <c r="D42" s="19">
        <v>74.034323961192939</v>
      </c>
      <c r="E42" s="19">
        <v>57.110707360057447</v>
      </c>
      <c r="F42" s="19">
        <v>39.171673762853828</v>
      </c>
      <c r="G42" s="32">
        <f>+'Debt Schedule'!G10</f>
        <v>61.286478128258508</v>
      </c>
      <c r="H42" s="32">
        <f>+'Debt Schedule'!H10</f>
        <v>71.728170755587456</v>
      </c>
      <c r="I42" s="32">
        <f>+'Debt Schedule'!I10</f>
        <v>61.762040979363228</v>
      </c>
      <c r="J42" s="32">
        <f>+'Debt Schedule'!J10</f>
        <v>51.197943416565536</v>
      </c>
      <c r="K42" s="32">
        <f>+'Debt Schedule'!K10</f>
        <v>0</v>
      </c>
      <c r="L42" s="16"/>
    </row>
    <row r="43" spans="2:12" x14ac:dyDescent="0.25">
      <c r="B43" s="1" t="s">
        <v>28</v>
      </c>
      <c r="C43" s="19"/>
      <c r="D43" s="19">
        <v>5.4</v>
      </c>
      <c r="E43" s="19">
        <v>5.8</v>
      </c>
      <c r="F43" s="19">
        <v>6.2</v>
      </c>
      <c r="G43" s="32">
        <f>+Assumptions!G48</f>
        <v>6.2</v>
      </c>
      <c r="H43" s="32">
        <f>+Assumptions!H48</f>
        <v>6.2</v>
      </c>
      <c r="I43" s="32">
        <f>+Assumptions!I48</f>
        <v>6.2</v>
      </c>
      <c r="J43" s="32">
        <f>+Assumptions!J48</f>
        <v>6.2</v>
      </c>
      <c r="K43" s="32">
        <f>+Assumptions!K48</f>
        <v>6.2</v>
      </c>
      <c r="L43" s="16"/>
    </row>
    <row r="44" spans="2:12" x14ac:dyDescent="0.25">
      <c r="B44" s="6" t="s">
        <v>29</v>
      </c>
      <c r="C44" s="17"/>
      <c r="D44" s="17">
        <f t="shared" ref="D44:G44" si="31">+D42+D43</f>
        <v>79.434323961192945</v>
      </c>
      <c r="E44" s="17">
        <f t="shared" si="31"/>
        <v>62.910707360057444</v>
      </c>
      <c r="F44" s="17">
        <f t="shared" si="31"/>
        <v>45.371673762853831</v>
      </c>
      <c r="G44" s="17">
        <f t="shared" si="31"/>
        <v>67.486478128258511</v>
      </c>
      <c r="H44" s="17">
        <f t="shared" ref="H44:K44" si="32">+H42+H43</f>
        <v>77.928170755587459</v>
      </c>
      <c r="I44" s="17">
        <f t="shared" si="32"/>
        <v>67.962040979363223</v>
      </c>
      <c r="J44" s="17">
        <f t="shared" si="32"/>
        <v>57.397943416565539</v>
      </c>
      <c r="K44" s="17">
        <f t="shared" si="32"/>
        <v>6.2</v>
      </c>
      <c r="L44" s="16"/>
    </row>
    <row r="45" spans="2:12" x14ac:dyDescent="0.25">
      <c r="B45" s="12" t="s">
        <v>31</v>
      </c>
      <c r="C45" s="18"/>
      <c r="D45" s="18">
        <f t="shared" ref="D45:G45" si="33">+D41+D44</f>
        <v>131.19350204338474</v>
      </c>
      <c r="E45" s="18">
        <f t="shared" si="33"/>
        <v>124.73632927786565</v>
      </c>
      <c r="F45" s="18">
        <f t="shared" si="33"/>
        <v>115.52415869436068</v>
      </c>
      <c r="G45" s="18">
        <f t="shared" si="33"/>
        <v>143.83107110483951</v>
      </c>
      <c r="H45" s="18">
        <f t="shared" ref="H45:K45" si="34">+H41+H44</f>
        <v>164.69398216640695</v>
      </c>
      <c r="I45" s="18">
        <f t="shared" si="34"/>
        <v>166.14857935583402</v>
      </c>
      <c r="J45" s="18">
        <f t="shared" si="34"/>
        <v>168.08780711008535</v>
      </c>
      <c r="K45" s="18">
        <f t="shared" si="34"/>
        <v>130.56529053478943</v>
      </c>
      <c r="L45" s="16"/>
    </row>
    <row r="46" spans="2:12" x14ac:dyDescent="0.25">
      <c r="B46" s="1" t="s">
        <v>32</v>
      </c>
      <c r="C46" s="19"/>
      <c r="D46" s="19">
        <v>100</v>
      </c>
      <c r="E46" s="19">
        <v>100</v>
      </c>
      <c r="F46" s="19">
        <v>100</v>
      </c>
      <c r="G46" s="32">
        <f>+Assumptions!G49</f>
        <v>100</v>
      </c>
      <c r="H46" s="32">
        <f>+Assumptions!H49</f>
        <v>100</v>
      </c>
      <c r="I46" s="32">
        <f>+Assumptions!I49</f>
        <v>100</v>
      </c>
      <c r="J46" s="32">
        <f>+Assumptions!J49</f>
        <v>100</v>
      </c>
      <c r="K46" s="32">
        <f>+Assumptions!K49</f>
        <v>100</v>
      </c>
      <c r="L46" s="16"/>
    </row>
    <row r="47" spans="2:12" x14ac:dyDescent="0.25">
      <c r="B47" s="1" t="s">
        <v>33</v>
      </c>
      <c r="C47" s="19"/>
      <c r="D47" s="19">
        <v>311.02159999999998</v>
      </c>
      <c r="E47" s="19">
        <v>388.82174422493131</v>
      </c>
      <c r="F47" s="19">
        <v>483.35515140828988</v>
      </c>
      <c r="G47" s="32">
        <f>+Assumptions!G62</f>
        <v>599.87129523915985</v>
      </c>
      <c r="H47" s="32">
        <f>+Assumptions!H62</f>
        <v>738.00670509337738</v>
      </c>
      <c r="I47" s="32">
        <f>+Assumptions!I62</f>
        <v>903.99918266377506</v>
      </c>
      <c r="J47" s="32">
        <f>+Assumptions!J62</f>
        <v>1098.8612267478172</v>
      </c>
      <c r="K47" s="32">
        <f>+Assumptions!K62</f>
        <v>1325.4921646143043</v>
      </c>
      <c r="L47" s="16"/>
    </row>
    <row r="48" spans="2:12" x14ac:dyDescent="0.25">
      <c r="B48" s="12" t="s">
        <v>34</v>
      </c>
      <c r="C48" s="18"/>
      <c r="D48" s="18">
        <f t="shared" ref="D48:G48" si="35">+D46+D47</f>
        <v>411.02159999999998</v>
      </c>
      <c r="E48" s="18">
        <f t="shared" si="35"/>
        <v>488.82174422493131</v>
      </c>
      <c r="F48" s="18">
        <f t="shared" si="35"/>
        <v>583.35515140828988</v>
      </c>
      <c r="G48" s="18">
        <f t="shared" si="35"/>
        <v>699.87129523915985</v>
      </c>
      <c r="H48" s="18">
        <f t="shared" ref="H48:K48" si="36">+H46+H47</f>
        <v>838.00670509337738</v>
      </c>
      <c r="I48" s="18">
        <f t="shared" si="36"/>
        <v>1003.9991826637751</v>
      </c>
      <c r="J48" s="18">
        <f t="shared" si="36"/>
        <v>1198.8612267478172</v>
      </c>
      <c r="K48" s="18">
        <f t="shared" si="36"/>
        <v>1425.4921646143043</v>
      </c>
      <c r="L48" s="16"/>
    </row>
    <row r="49" spans="1:11" x14ac:dyDescent="0.25">
      <c r="B49" s="1" t="s">
        <v>61</v>
      </c>
      <c r="C49" s="20"/>
      <c r="D49" s="20">
        <f>+D38-D45-D48</f>
        <v>0</v>
      </c>
      <c r="E49" s="20">
        <f>+E38-E45-E48</f>
        <v>0</v>
      </c>
      <c r="F49" s="20">
        <f>+F38-F45-F48</f>
        <v>0</v>
      </c>
      <c r="G49" s="20">
        <f t="shared" ref="G49" si="37">+G38-G45-G48</f>
        <v>0</v>
      </c>
      <c r="H49" s="20">
        <f t="shared" ref="H49:K49" si="38">+H38-H45-H48</f>
        <v>0</v>
      </c>
      <c r="I49" s="20">
        <f t="shared" si="38"/>
        <v>0</v>
      </c>
      <c r="J49" s="20">
        <f t="shared" si="38"/>
        <v>0</v>
      </c>
      <c r="K49" s="20">
        <f t="shared" si="38"/>
        <v>0</v>
      </c>
    </row>
    <row r="51" spans="1:11" x14ac:dyDescent="0.25">
      <c r="B51" s="2" t="s">
        <v>114</v>
      </c>
    </row>
    <row r="52" spans="1:11" s="21" customFormat="1" x14ac:dyDescent="0.25">
      <c r="B52" s="21" t="s">
        <v>135</v>
      </c>
      <c r="D52" s="53">
        <f>+D33/D41</f>
        <v>8.5707524439228724</v>
      </c>
      <c r="E52" s="53">
        <f t="shared" ref="E52:K52" si="39">+E33/E41</f>
        <v>7.913839898824623</v>
      </c>
      <c r="F52" s="53">
        <f t="shared" si="39"/>
        <v>7.8535109717148588</v>
      </c>
      <c r="G52" s="53">
        <f t="shared" si="39"/>
        <v>8.9835453641918246</v>
      </c>
      <c r="H52" s="53">
        <f t="shared" si="39"/>
        <v>9.6785468240873378</v>
      </c>
      <c r="I52" s="53">
        <f t="shared" si="39"/>
        <v>10.164165935465366</v>
      </c>
      <c r="J52" s="53">
        <f t="shared" si="39"/>
        <v>10.708373734372039</v>
      </c>
      <c r="K52" s="53">
        <f t="shared" si="39"/>
        <v>10.972638666580314</v>
      </c>
    </row>
    <row r="53" spans="1:11" x14ac:dyDescent="0.25">
      <c r="B53" s="1" t="s">
        <v>113</v>
      </c>
      <c r="C53" s="41"/>
      <c r="D53" s="54">
        <f t="shared" ref="D53:K53" si="40">+D42/D48</f>
        <v>0.18012270878511724</v>
      </c>
      <c r="E53" s="54">
        <f t="shared" si="40"/>
        <v>0.11683340202185842</v>
      </c>
      <c r="F53" s="54">
        <f t="shared" si="40"/>
        <v>6.7148929204256913E-2</v>
      </c>
      <c r="G53" s="54">
        <f t="shared" si="40"/>
        <v>8.7568212248675961E-2</v>
      </c>
      <c r="H53" s="54">
        <f t="shared" si="40"/>
        <v>8.5593790979983791E-2</v>
      </c>
      <c r="I53" s="54">
        <f t="shared" si="40"/>
        <v>6.1516027150040467E-2</v>
      </c>
      <c r="J53" s="54">
        <f t="shared" si="40"/>
        <v>4.2705479395185347E-2</v>
      </c>
      <c r="K53" s="54">
        <f t="shared" si="40"/>
        <v>0</v>
      </c>
    </row>
    <row r="54" spans="1:11" x14ac:dyDescent="0.25">
      <c r="B54" s="1" t="s">
        <v>134</v>
      </c>
      <c r="C54" s="41"/>
      <c r="D54" s="54">
        <f>+D42/D18</f>
        <v>0.3482329443141719</v>
      </c>
      <c r="E54" s="54">
        <f t="shared" ref="E54:K54" si="41">+E42/E18</f>
        <v>0.20873949137076095</v>
      </c>
      <c r="F54" s="54">
        <f t="shared" si="41"/>
        <v>0.11628013785258087</v>
      </c>
      <c r="G54" s="54">
        <f t="shared" si="41"/>
        <v>0.14722538713367891</v>
      </c>
      <c r="H54" s="54">
        <f t="shared" si="41"/>
        <v>0.14405095433999646</v>
      </c>
      <c r="I54" s="54">
        <f t="shared" si="41"/>
        <v>0.10504287547970004</v>
      </c>
      <c r="J54" s="54">
        <f t="shared" si="41"/>
        <v>7.4513800421028453E-2</v>
      </c>
      <c r="K54" s="54">
        <f t="shared" si="41"/>
        <v>0</v>
      </c>
    </row>
    <row r="56" spans="1:11" x14ac:dyDescent="0.25">
      <c r="A56" s="73">
        <v>3</v>
      </c>
      <c r="B56" s="73" t="s">
        <v>41</v>
      </c>
      <c r="C56" s="74"/>
      <c r="D56" s="74">
        <v>2017</v>
      </c>
      <c r="E56" s="74">
        <f t="shared" ref="E56:K56" si="42">+D56+1</f>
        <v>2018</v>
      </c>
      <c r="F56" s="74">
        <f t="shared" si="42"/>
        <v>2019</v>
      </c>
      <c r="G56" s="75">
        <f t="shared" si="42"/>
        <v>2020</v>
      </c>
      <c r="H56" s="75">
        <f t="shared" si="42"/>
        <v>2021</v>
      </c>
      <c r="I56" s="75">
        <f t="shared" si="42"/>
        <v>2022</v>
      </c>
      <c r="J56" s="75">
        <f t="shared" si="42"/>
        <v>2023</v>
      </c>
      <c r="K56" s="75">
        <f t="shared" si="42"/>
        <v>2024</v>
      </c>
    </row>
    <row r="57" spans="1:11" x14ac:dyDescent="0.25">
      <c r="B57" s="1" t="s">
        <v>7</v>
      </c>
      <c r="C57" s="16"/>
      <c r="D57" s="16"/>
      <c r="E57" s="16">
        <f t="shared" ref="E57:F57" si="43">+E14</f>
        <v>194.50036056232838</v>
      </c>
      <c r="F57" s="16">
        <f t="shared" si="43"/>
        <v>236.3335179583965</v>
      </c>
      <c r="G57" s="83">
        <f>+G14</f>
        <v>291.29035957717497</v>
      </c>
      <c r="H57" s="83">
        <f t="shared" ref="H57:K57" si="44">+H14</f>
        <v>345.33852463554388</v>
      </c>
      <c r="I57" s="83">
        <f t="shared" si="44"/>
        <v>414.98119392599409</v>
      </c>
      <c r="J57" s="83">
        <f t="shared" si="44"/>
        <v>487.15511021010559</v>
      </c>
      <c r="K57" s="83">
        <f t="shared" si="44"/>
        <v>566.57734466621787</v>
      </c>
    </row>
    <row r="58" spans="1:11" x14ac:dyDescent="0.25">
      <c r="B58" s="1" t="s">
        <v>42</v>
      </c>
      <c r="C58" s="16"/>
      <c r="D58" s="16"/>
      <c r="E58" s="16">
        <f>-PPE!E6</f>
        <v>17.2</v>
      </c>
      <c r="F58" s="16">
        <f>-PPE!F6</f>
        <v>25.695999999999998</v>
      </c>
      <c r="G58" s="83">
        <f>+G17</f>
        <v>46.813313007030786</v>
      </c>
      <c r="H58" s="83">
        <f t="shared" ref="H58:K58" si="45">+H17</f>
        <v>59.785757949316732</v>
      </c>
      <c r="I58" s="83">
        <f t="shared" si="45"/>
        <v>64.539641072142317</v>
      </c>
      <c r="J58" s="83">
        <f t="shared" si="45"/>
        <v>74.043829212370838</v>
      </c>
      <c r="K58" s="83">
        <f t="shared" si="45"/>
        <v>84.385150171857219</v>
      </c>
    </row>
    <row r="59" spans="1:11" x14ac:dyDescent="0.25">
      <c r="B59" s="1" t="s">
        <v>43</v>
      </c>
      <c r="C59" s="16"/>
      <c r="D59" s="16"/>
      <c r="E59" s="16">
        <f t="shared" ref="E59:F60" si="46">-E30+D30</f>
        <v>-11.769863013698625</v>
      </c>
      <c r="F59" s="16">
        <f t="shared" si="46"/>
        <v>-13.578082191780808</v>
      </c>
      <c r="G59" s="83">
        <f>-G30+F30</f>
        <v>-13.711574739034603</v>
      </c>
      <c r="H59" s="83">
        <f t="shared" ref="H59:K59" si="47">-H30+G30</f>
        <v>-21.138046805481935</v>
      </c>
      <c r="I59" s="83">
        <f t="shared" si="47"/>
        <v>-23.165416086032394</v>
      </c>
      <c r="J59" s="83">
        <f t="shared" si="47"/>
        <v>-25.361321945581324</v>
      </c>
      <c r="K59" s="83">
        <f t="shared" si="47"/>
        <v>-27.738773011989338</v>
      </c>
    </row>
    <row r="60" spans="1:11" x14ac:dyDescent="0.25">
      <c r="B60" s="1" t="s">
        <v>44</v>
      </c>
      <c r="C60" s="16"/>
      <c r="D60" s="16"/>
      <c r="E60" s="16">
        <f t="shared" si="46"/>
        <v>-9.1740821917808262</v>
      </c>
      <c r="F60" s="16">
        <f t="shared" si="46"/>
        <v>-10.21265753424656</v>
      </c>
      <c r="G60" s="83">
        <f>-G31+F31</f>
        <v>-10.914667767994644</v>
      </c>
      <c r="H60" s="83">
        <f t="shared" ref="H60:K60" si="48">-H31+G31</f>
        <v>-16.51914153978025</v>
      </c>
      <c r="I60" s="83">
        <f t="shared" si="48"/>
        <v>-18.103507418378399</v>
      </c>
      <c r="J60" s="83">
        <f t="shared" si="48"/>
        <v>-19.819582703655612</v>
      </c>
      <c r="K60" s="83">
        <f t="shared" si="48"/>
        <v>-21.677533489331381</v>
      </c>
    </row>
    <row r="61" spans="1:11" x14ac:dyDescent="0.25">
      <c r="B61" s="1" t="s">
        <v>45</v>
      </c>
      <c r="C61" s="16"/>
      <c r="D61" s="16"/>
      <c r="E61" s="16">
        <f t="shared" ref="E61:F61" si="49">+E39-D39</f>
        <v>9.6664438356164268</v>
      </c>
      <c r="F61" s="16">
        <f t="shared" si="49"/>
        <v>8.2268630136986403</v>
      </c>
      <c r="G61" s="83">
        <f>+G39-F39</f>
        <v>6.1921080450741499</v>
      </c>
      <c r="H61" s="83">
        <f t="shared" ref="H61:K61" si="50">+H39-G39</f>
        <v>10.421218434238511</v>
      </c>
      <c r="I61" s="83">
        <f t="shared" si="50"/>
        <v>11.420726965651284</v>
      </c>
      <c r="J61" s="83">
        <f t="shared" si="50"/>
        <v>12.503325317049033</v>
      </c>
      <c r="K61" s="83">
        <f t="shared" si="50"/>
        <v>13.675426841269612</v>
      </c>
    </row>
    <row r="62" spans="1:11" x14ac:dyDescent="0.25">
      <c r="B62" s="1" t="s">
        <v>46</v>
      </c>
      <c r="C62" s="16"/>
      <c r="D62" s="16"/>
      <c r="E62" s="16">
        <f t="shared" ref="E62:F62" si="51">-E32+D32</f>
        <v>1</v>
      </c>
      <c r="F62" s="16">
        <f t="shared" si="51"/>
        <v>0</v>
      </c>
      <c r="G62" s="83">
        <f>-G32+F32</f>
        <v>0</v>
      </c>
      <c r="H62" s="83">
        <f t="shared" ref="H62:K62" si="52">-H32+G32</f>
        <v>0</v>
      </c>
      <c r="I62" s="83">
        <f t="shared" si="52"/>
        <v>0</v>
      </c>
      <c r="J62" s="83">
        <f t="shared" si="52"/>
        <v>0</v>
      </c>
      <c r="K62" s="83">
        <f t="shared" si="52"/>
        <v>0</v>
      </c>
    </row>
    <row r="63" spans="1:11" x14ac:dyDescent="0.25">
      <c r="B63" s="1" t="s">
        <v>47</v>
      </c>
      <c r="C63" s="16"/>
      <c r="D63" s="16"/>
      <c r="E63" s="16">
        <f t="shared" ref="E63:F63" si="53">-E36+D36</f>
        <v>-0.40000000000000036</v>
      </c>
      <c r="F63" s="16">
        <f t="shared" si="53"/>
        <v>-0.5</v>
      </c>
      <c r="G63" s="83">
        <f>-G36+F36</f>
        <v>0</v>
      </c>
      <c r="H63" s="83">
        <f t="shared" ref="H63:K63" si="54">-H36+G36</f>
        <v>0</v>
      </c>
      <c r="I63" s="83">
        <f t="shared" si="54"/>
        <v>0</v>
      </c>
      <c r="J63" s="83">
        <f t="shared" si="54"/>
        <v>0</v>
      </c>
      <c r="K63" s="83">
        <f t="shared" si="54"/>
        <v>0</v>
      </c>
    </row>
    <row r="64" spans="1:11" x14ac:dyDescent="0.25">
      <c r="B64" s="1" t="s">
        <v>48</v>
      </c>
      <c r="C64" s="16"/>
      <c r="D64" s="16"/>
      <c r="E64" s="16">
        <f t="shared" ref="E64:F64" si="55">+E40-D40</f>
        <v>0.39999999999999991</v>
      </c>
      <c r="F64" s="16">
        <f t="shared" si="55"/>
        <v>0.10000000000000009</v>
      </c>
      <c r="G64" s="83">
        <f>+G40-F40</f>
        <v>0</v>
      </c>
      <c r="H64" s="83">
        <f t="shared" ref="H64:K64" si="56">+H40-G40</f>
        <v>0</v>
      </c>
      <c r="I64" s="83">
        <f t="shared" si="56"/>
        <v>0</v>
      </c>
      <c r="J64" s="83">
        <f t="shared" si="56"/>
        <v>0</v>
      </c>
      <c r="K64" s="83">
        <f t="shared" si="56"/>
        <v>0</v>
      </c>
    </row>
    <row r="65" spans="2:11" x14ac:dyDescent="0.25">
      <c r="B65" s="1" t="s">
        <v>49</v>
      </c>
      <c r="C65" s="16"/>
      <c r="D65" s="16"/>
      <c r="E65" s="16">
        <f t="shared" ref="E65:F65" si="57">+E43-D43</f>
        <v>0.39999999999999947</v>
      </c>
      <c r="F65" s="16">
        <f t="shared" si="57"/>
        <v>0.40000000000000036</v>
      </c>
      <c r="G65" s="83">
        <f>+G43-F43</f>
        <v>0</v>
      </c>
      <c r="H65" s="83">
        <f t="shared" ref="H65:K65" si="58">+H43-G43</f>
        <v>0</v>
      </c>
      <c r="I65" s="83">
        <f t="shared" si="58"/>
        <v>0</v>
      </c>
      <c r="J65" s="83">
        <f t="shared" si="58"/>
        <v>0</v>
      </c>
      <c r="K65" s="83">
        <f t="shared" si="58"/>
        <v>0</v>
      </c>
    </row>
    <row r="66" spans="2:11" x14ac:dyDescent="0.25">
      <c r="B66" s="1" t="s">
        <v>136</v>
      </c>
      <c r="C66" s="16"/>
      <c r="D66" s="16"/>
      <c r="E66" s="16">
        <f t="shared" ref="E66:F66" si="59">-E11</f>
        <v>4.4420594376715759</v>
      </c>
      <c r="F66" s="16">
        <f t="shared" si="59"/>
        <v>3.4266424416034469</v>
      </c>
      <c r="G66" s="86">
        <f>-G11</f>
        <v>5.3503004257712297</v>
      </c>
      <c r="H66" s="86">
        <f t="shared" ref="H66:K66" si="60">-H11</f>
        <v>6.4771886876955111</v>
      </c>
      <c r="I66" s="86">
        <f t="shared" si="60"/>
        <v>4.703690245335248</v>
      </c>
      <c r="J66" s="86">
        <f t="shared" si="60"/>
        <v>4.105722458761794</v>
      </c>
      <c r="K66" s="86">
        <f t="shared" si="60"/>
        <v>3.4718766049939327</v>
      </c>
    </row>
    <row r="67" spans="2:11" x14ac:dyDescent="0.25">
      <c r="B67" s="6" t="s">
        <v>62</v>
      </c>
      <c r="C67" s="17"/>
      <c r="D67" s="17"/>
      <c r="E67" s="17">
        <f>SUM(E57:E66)</f>
        <v>206.26491863013695</v>
      </c>
      <c r="F67" s="17">
        <f>SUM(F57:F66)</f>
        <v>249.89228368767118</v>
      </c>
      <c r="G67" s="88">
        <f t="shared" ref="G67:K67" si="61">SUM(G57:G66)</f>
        <v>325.01983854802199</v>
      </c>
      <c r="H67" s="88">
        <f t="shared" si="61"/>
        <v>384.36550136153244</v>
      </c>
      <c r="I67" s="88">
        <f t="shared" si="61"/>
        <v>454.37632870471214</v>
      </c>
      <c r="J67" s="88">
        <f t="shared" si="61"/>
        <v>532.62708254905021</v>
      </c>
      <c r="K67" s="88">
        <f t="shared" si="61"/>
        <v>618.69349178301798</v>
      </c>
    </row>
    <row r="68" spans="2:11" x14ac:dyDescent="0.25">
      <c r="B68" s="1" t="s">
        <v>52</v>
      </c>
      <c r="C68" s="16"/>
      <c r="D68" s="16"/>
      <c r="E68" s="16">
        <f>-PPE!E5</f>
        <v>-42.48</v>
      </c>
      <c r="F68" s="16">
        <f>-PPE!F5</f>
        <v>-48.851999999999997</v>
      </c>
      <c r="G68" s="89">
        <f>-PPE!G5</f>
        <v>-56.734565035153985</v>
      </c>
      <c r="H68" s="89">
        <f>-PPE!H5</f>
        <v>-64.862224711429747</v>
      </c>
      <c r="I68" s="89">
        <f>-PPE!I5</f>
        <v>-73.769415614127851</v>
      </c>
      <c r="J68" s="89">
        <f>-PPE!J5</f>
        <v>-83.520940701142592</v>
      </c>
      <c r="K68" s="89">
        <f>-PPE!K5</f>
        <v>-94.18660479743194</v>
      </c>
    </row>
    <row r="69" spans="2:11" x14ac:dyDescent="0.25">
      <c r="B69" s="6" t="s">
        <v>63</v>
      </c>
      <c r="C69" s="17"/>
      <c r="D69" s="17"/>
      <c r="E69" s="17">
        <f>+E67+E68</f>
        <v>163.78491863013696</v>
      </c>
      <c r="F69" s="17">
        <f>+F67+F68</f>
        <v>201.04028368767118</v>
      </c>
      <c r="G69" s="87">
        <f>+G67+G68</f>
        <v>268.285273512868</v>
      </c>
      <c r="H69" s="87">
        <f t="shared" ref="H69:K69" si="62">+H67+H68</f>
        <v>319.50327665010269</v>
      </c>
      <c r="I69" s="87">
        <f t="shared" si="62"/>
        <v>380.60691309058427</v>
      </c>
      <c r="J69" s="87">
        <f t="shared" si="62"/>
        <v>449.10614184790762</v>
      </c>
      <c r="K69" s="87">
        <f t="shared" si="62"/>
        <v>524.50688698558599</v>
      </c>
    </row>
    <row r="70" spans="2:11" x14ac:dyDescent="0.25">
      <c r="B70" s="1" t="s">
        <v>64</v>
      </c>
      <c r="C70" s="16"/>
      <c r="D70" s="16"/>
      <c r="E70" s="16">
        <v>0</v>
      </c>
      <c r="F70" s="16">
        <v>0</v>
      </c>
      <c r="G70" s="83">
        <f>+'Debt Schedule'!G6</f>
        <v>50</v>
      </c>
      <c r="H70" s="83">
        <f>+'Debt Schedule'!H6</f>
        <v>40</v>
      </c>
      <c r="I70" s="83">
        <f>+'Debt Schedule'!I6</f>
        <v>0</v>
      </c>
      <c r="J70" s="83">
        <f>+'Debt Schedule'!J6</f>
        <v>0</v>
      </c>
      <c r="K70" s="83">
        <f>+'Debt Schedule'!K6</f>
        <v>0</v>
      </c>
    </row>
    <row r="71" spans="2:11" x14ac:dyDescent="0.25">
      <c r="B71" s="1" t="s">
        <v>65</v>
      </c>
      <c r="C71" s="16"/>
      <c r="D71" s="16"/>
      <c r="E71" s="16">
        <f>+'Debt Schedule'!E9</f>
        <v>-16.923616601135492</v>
      </c>
      <c r="F71" s="16">
        <f>+'Debt Schedule'!F9</f>
        <v>-17.939033597203618</v>
      </c>
      <c r="G71" s="83">
        <f>+'Debt Schedule'!G9</f>
        <v>-27.88519563459532</v>
      </c>
      <c r="H71" s="83">
        <f>+'Debt Schedule'!H9</f>
        <v>-29.558307372671038</v>
      </c>
      <c r="I71" s="83">
        <f>+'Debt Schedule'!I9</f>
        <v>-9.9661297762242338</v>
      </c>
      <c r="J71" s="83">
        <f>+'Debt Schedule'!J9</f>
        <v>-10.564097562797688</v>
      </c>
      <c r="K71" s="83">
        <f>+'Debt Schedule'!K9</f>
        <v>-51.19794341656555</v>
      </c>
    </row>
    <row r="72" spans="2:11" x14ac:dyDescent="0.25">
      <c r="B72" s="1" t="s">
        <v>6</v>
      </c>
      <c r="C72" s="16"/>
      <c r="D72" s="16"/>
      <c r="E72" s="16">
        <f t="shared" ref="E72:F72" si="63">+E11</f>
        <v>-4.4420594376715759</v>
      </c>
      <c r="F72" s="16">
        <f t="shared" si="63"/>
        <v>-3.4266424416034469</v>
      </c>
      <c r="G72" s="83">
        <f>+G11</f>
        <v>-5.3503004257712297</v>
      </c>
      <c r="H72" s="83">
        <f t="shared" ref="H72:K72" si="64">+H11</f>
        <v>-6.4771886876955111</v>
      </c>
      <c r="I72" s="83">
        <f t="shared" si="64"/>
        <v>-4.703690245335248</v>
      </c>
      <c r="J72" s="83">
        <f t="shared" si="64"/>
        <v>-4.105722458761794</v>
      </c>
      <c r="K72" s="83">
        <f t="shared" si="64"/>
        <v>-3.4718766049939327</v>
      </c>
    </row>
    <row r="73" spans="2:11" x14ac:dyDescent="0.25">
      <c r="B73" s="1" t="s">
        <v>66</v>
      </c>
      <c r="C73" s="16"/>
      <c r="D73" s="16"/>
      <c r="E73" s="16">
        <f t="shared" ref="E73:F73" si="65">+E47-D47-E14</f>
        <v>-116.70021633739705</v>
      </c>
      <c r="F73" s="16">
        <f t="shared" si="65"/>
        <v>-141.80011077503792</v>
      </c>
      <c r="G73" s="83">
        <f>-Assumptions!G56</f>
        <v>-174.77421574630498</v>
      </c>
      <c r="H73" s="83">
        <f>-Assumptions!H56</f>
        <v>-207.20311478132632</v>
      </c>
      <c r="I73" s="83">
        <f>-Assumptions!I56</f>
        <v>-248.98871635559644</v>
      </c>
      <c r="J73" s="83">
        <f>-Assumptions!J56</f>
        <v>-292.29306612606337</v>
      </c>
      <c r="K73" s="83">
        <f>-Assumptions!K56</f>
        <v>-339.94640679973071</v>
      </c>
    </row>
    <row r="74" spans="2:11" x14ac:dyDescent="0.25">
      <c r="B74" s="2" t="s">
        <v>67</v>
      </c>
      <c r="C74" s="25"/>
      <c r="D74" s="25"/>
      <c r="E74" s="25">
        <f>+E70+E71+E72+E73</f>
        <v>-138.06589237620412</v>
      </c>
      <c r="F74" s="25">
        <f>+F70+F71+F72+F73</f>
        <v>-163.16578681384499</v>
      </c>
      <c r="G74" s="85">
        <f t="shared" ref="G74:K74" si="66">+G70+G71+G72+G73</f>
        <v>-158.00971180667153</v>
      </c>
      <c r="H74" s="85">
        <f t="shared" si="66"/>
        <v>-203.23861084169286</v>
      </c>
      <c r="I74" s="85">
        <f t="shared" si="66"/>
        <v>-263.65853637715594</v>
      </c>
      <c r="J74" s="85">
        <f t="shared" si="66"/>
        <v>-306.96288614762284</v>
      </c>
      <c r="K74" s="85">
        <f t="shared" si="66"/>
        <v>-394.61622682129018</v>
      </c>
    </row>
    <row r="75" spans="2:11" x14ac:dyDescent="0.25">
      <c r="B75" s="1" t="s">
        <v>68</v>
      </c>
      <c r="C75" s="16"/>
      <c r="D75" s="16"/>
      <c r="E75" s="16">
        <f>+D77</f>
        <v>238.11263628995982</v>
      </c>
      <c r="F75" s="16">
        <f>+E77</f>
        <v>263.83166254389266</v>
      </c>
      <c r="G75" s="83">
        <f t="shared" ref="G75:K75" si="67">+F77</f>
        <v>301.70615941771882</v>
      </c>
      <c r="H75" s="83">
        <f t="shared" si="67"/>
        <v>411.98172112391529</v>
      </c>
      <c r="I75" s="83">
        <f t="shared" si="67"/>
        <v>528.24638693232509</v>
      </c>
      <c r="J75" s="83">
        <f t="shared" si="67"/>
        <v>645.19476364575348</v>
      </c>
      <c r="K75" s="83">
        <f t="shared" si="67"/>
        <v>787.33801934603821</v>
      </c>
    </row>
    <row r="76" spans="2:11" x14ac:dyDescent="0.25">
      <c r="B76" s="1" t="s">
        <v>69</v>
      </c>
      <c r="C76" s="16"/>
      <c r="D76" s="16"/>
      <c r="E76" s="16">
        <f>+E69+E74</f>
        <v>25.719026253932839</v>
      </c>
      <c r="F76" s="16">
        <f>+F69+F74</f>
        <v>37.874496873826189</v>
      </c>
      <c r="G76" s="86">
        <f t="shared" ref="G76:K76" si="68">+G69+G74</f>
        <v>110.27556170619647</v>
      </c>
      <c r="H76" s="86">
        <f t="shared" si="68"/>
        <v>116.26466580840983</v>
      </c>
      <c r="I76" s="86">
        <f t="shared" si="68"/>
        <v>116.94837671342833</v>
      </c>
      <c r="J76" s="86">
        <f t="shared" si="68"/>
        <v>142.14325570028478</v>
      </c>
      <c r="K76" s="86">
        <f t="shared" si="68"/>
        <v>129.89066016429581</v>
      </c>
    </row>
    <row r="77" spans="2:11" x14ac:dyDescent="0.25">
      <c r="B77" s="12" t="s">
        <v>70</v>
      </c>
      <c r="C77" s="18"/>
      <c r="D77" s="18">
        <f>+D29</f>
        <v>238.11263628995982</v>
      </c>
      <c r="E77" s="18">
        <f>+E75+E76</f>
        <v>263.83166254389266</v>
      </c>
      <c r="F77" s="18">
        <f>+F75+F76</f>
        <v>301.70615941771882</v>
      </c>
      <c r="G77" s="90">
        <f t="shared" ref="G77:K77" si="69">+G75+G76</f>
        <v>411.98172112391529</v>
      </c>
      <c r="H77" s="90">
        <f t="shared" si="69"/>
        <v>528.24638693232509</v>
      </c>
      <c r="I77" s="90">
        <f t="shared" si="69"/>
        <v>645.19476364575348</v>
      </c>
      <c r="J77" s="90">
        <f t="shared" si="69"/>
        <v>787.33801934603821</v>
      </c>
      <c r="K77" s="90">
        <f t="shared" si="69"/>
        <v>917.22867951033402</v>
      </c>
    </row>
    <row r="78" spans="2:11" x14ac:dyDescent="0.25">
      <c r="B78" s="1" t="s">
        <v>61</v>
      </c>
      <c r="E78" s="20">
        <f t="shared" ref="E78:F78" si="70">+E77-E29</f>
        <v>0</v>
      </c>
      <c r="F78" s="20">
        <f t="shared" si="70"/>
        <v>0</v>
      </c>
      <c r="G78" s="20">
        <f t="shared" ref="G78:K78" si="71">+G77-G29</f>
        <v>0</v>
      </c>
      <c r="H78" s="20">
        <f t="shared" si="71"/>
        <v>0</v>
      </c>
      <c r="I78" s="20">
        <f t="shared" si="71"/>
        <v>0</v>
      </c>
      <c r="J78" s="20">
        <f t="shared" si="71"/>
        <v>0</v>
      </c>
      <c r="K78" s="20">
        <f t="shared" si="71"/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O85"/>
  <sheetViews>
    <sheetView zoomScaleNormal="100" workbookViewId="0">
      <pane xSplit="3" ySplit="3" topLeftCell="D5" activePane="bottomRight" state="frozen"/>
      <selection pane="topRight" activeCell="D1" sqref="D1"/>
      <selection pane="bottomLeft" activeCell="A4" sqref="A4"/>
      <selection pane="bottomRight" activeCell="G5" sqref="G5"/>
    </sheetView>
  </sheetViews>
  <sheetFormatPr defaultRowHeight="15" x14ac:dyDescent="0.25"/>
  <cols>
    <col min="1" max="1" width="3.42578125" style="1" customWidth="1"/>
    <col min="2" max="2" width="19" style="1" bestFit="1" customWidth="1"/>
    <col min="3" max="16384" width="9.140625" style="1"/>
  </cols>
  <sheetData>
    <row r="3" spans="2:15" x14ac:dyDescent="0.25">
      <c r="B3" s="2" t="s">
        <v>50</v>
      </c>
      <c r="C3" s="3"/>
      <c r="D3" s="3">
        <v>2017</v>
      </c>
      <c r="E3" s="3">
        <f t="shared" ref="E3:K3" si="0">+D3+1</f>
        <v>2018</v>
      </c>
      <c r="F3" s="3">
        <f t="shared" si="0"/>
        <v>2019</v>
      </c>
      <c r="G3" s="4">
        <f t="shared" si="0"/>
        <v>2020</v>
      </c>
      <c r="H3" s="4">
        <f t="shared" si="0"/>
        <v>2021</v>
      </c>
      <c r="I3" s="4">
        <f t="shared" si="0"/>
        <v>2022</v>
      </c>
      <c r="J3" s="4">
        <f t="shared" si="0"/>
        <v>2023</v>
      </c>
      <c r="K3" s="4">
        <f t="shared" si="0"/>
        <v>2024</v>
      </c>
      <c r="L3" s="4">
        <f t="shared" ref="L3" si="1">+K3+1</f>
        <v>2025</v>
      </c>
      <c r="M3" s="4">
        <f t="shared" ref="M3" si="2">+L3+1</f>
        <v>2026</v>
      </c>
      <c r="N3" s="4">
        <f t="shared" ref="N3" si="3">+M3+1</f>
        <v>2027</v>
      </c>
      <c r="O3" s="4">
        <f t="shared" ref="O3" si="4">+N3+1</f>
        <v>2028</v>
      </c>
    </row>
    <row r="4" spans="2:15" x14ac:dyDescent="0.25">
      <c r="B4" s="1" t="s">
        <v>51</v>
      </c>
      <c r="C4" s="16"/>
      <c r="D4" s="16">
        <f>+D18+D26+D34+D42+D50+D58+D66+D74+D82</f>
        <v>50</v>
      </c>
      <c r="E4" s="16">
        <f t="shared" ref="E4:K7" si="5">+E18+E26+E34+E42+E50+E58+E66+E74+E82</f>
        <v>76</v>
      </c>
      <c r="F4" s="16">
        <f t="shared" si="5"/>
        <v>101.28</v>
      </c>
      <c r="G4" s="16">
        <f t="shared" si="5"/>
        <v>124.43600000000001</v>
      </c>
      <c r="H4" s="16">
        <f t="shared" si="5"/>
        <v>134.35725202812318</v>
      </c>
      <c r="I4" s="16">
        <f t="shared" ref="I4:K4" si="6">+I18+I26+I34+I42+I50+I58+I66+I74+I82</f>
        <v>139.43371879023618</v>
      </c>
      <c r="J4" s="16">
        <f t="shared" si="6"/>
        <v>148.66349333222172</v>
      </c>
      <c r="K4" s="16">
        <f t="shared" si="6"/>
        <v>158.14060482099347</v>
      </c>
      <c r="M4" s="16"/>
    </row>
    <row r="5" spans="2:15" x14ac:dyDescent="0.25">
      <c r="B5" s="1" t="s">
        <v>52</v>
      </c>
      <c r="C5" s="16"/>
      <c r="D5" s="16">
        <f>+D19+D27+D35+D43+D51+D59+D67+D75+D83</f>
        <v>36</v>
      </c>
      <c r="E5" s="16">
        <f t="shared" si="5"/>
        <v>42.48</v>
      </c>
      <c r="F5" s="16">
        <f t="shared" si="5"/>
        <v>48.851999999999997</v>
      </c>
      <c r="G5" s="16">
        <f t="shared" si="5"/>
        <v>56.734565035153985</v>
      </c>
      <c r="H5" s="16">
        <f t="shared" si="5"/>
        <v>64.862224711429747</v>
      </c>
      <c r="I5" s="16">
        <f t="shared" ref="I5:K5" si="7">+I19+I27+I35+I43+I51+I59+I67+I75+I83</f>
        <v>73.769415614127851</v>
      </c>
      <c r="J5" s="16">
        <f t="shared" si="7"/>
        <v>83.520940701142592</v>
      </c>
      <c r="K5" s="16">
        <f t="shared" si="7"/>
        <v>94.18660479743194</v>
      </c>
    </row>
    <row r="6" spans="2:15" x14ac:dyDescent="0.25">
      <c r="B6" s="1" t="s">
        <v>53</v>
      </c>
      <c r="C6" s="16"/>
      <c r="D6" s="16">
        <f>+D20+D28+D36+D44+D52+D60+D68+D76+D84</f>
        <v>-10</v>
      </c>
      <c r="E6" s="16">
        <f t="shared" si="5"/>
        <v>-17.2</v>
      </c>
      <c r="F6" s="16">
        <f t="shared" si="5"/>
        <v>-25.695999999999998</v>
      </c>
      <c r="G6" s="16">
        <f t="shared" si="5"/>
        <v>-46.813313007030786</v>
      </c>
      <c r="H6" s="16">
        <f t="shared" si="5"/>
        <v>-59.785757949316732</v>
      </c>
      <c r="I6" s="16">
        <f t="shared" ref="I6:K6" si="8">+I20+I28+I36+I44+I52+I60+I68+I76+I84</f>
        <v>-64.539641072142317</v>
      </c>
      <c r="J6" s="16">
        <f t="shared" si="8"/>
        <v>-74.043829212370838</v>
      </c>
      <c r="K6" s="16">
        <f t="shared" si="8"/>
        <v>-84.385150171857219</v>
      </c>
    </row>
    <row r="7" spans="2:15" x14ac:dyDescent="0.25">
      <c r="B7" s="12" t="s">
        <v>54</v>
      </c>
      <c r="C7" s="18"/>
      <c r="D7" s="18">
        <f>+D21+D29+D37+D45+D53+D61+D69+D77+D85</f>
        <v>76</v>
      </c>
      <c r="E7" s="18">
        <f t="shared" si="5"/>
        <v>101.28</v>
      </c>
      <c r="F7" s="18">
        <f t="shared" si="5"/>
        <v>124.43600000000001</v>
      </c>
      <c r="G7" s="18">
        <f t="shared" si="5"/>
        <v>134.35725202812318</v>
      </c>
      <c r="H7" s="18">
        <f t="shared" si="5"/>
        <v>139.43371879023618</v>
      </c>
      <c r="I7" s="18">
        <f t="shared" si="5"/>
        <v>148.66349333222172</v>
      </c>
      <c r="J7" s="18">
        <f t="shared" si="5"/>
        <v>158.14060482099347</v>
      </c>
      <c r="K7" s="18">
        <f t="shared" si="5"/>
        <v>167.94205944656818</v>
      </c>
    </row>
    <row r="8" spans="2:15" x14ac:dyDescent="0.25">
      <c r="B8" s="1" t="s">
        <v>61</v>
      </c>
      <c r="D8" s="20">
        <f>+D4+D5+D6-D7</f>
        <v>0</v>
      </c>
      <c r="E8" s="20">
        <f t="shared" ref="E8:H8" si="9">+E4+E5+E6-E7</f>
        <v>0</v>
      </c>
      <c r="F8" s="20">
        <f t="shared" si="9"/>
        <v>0</v>
      </c>
      <c r="G8" s="20">
        <f t="shared" si="9"/>
        <v>0</v>
      </c>
      <c r="H8" s="20">
        <f t="shared" si="9"/>
        <v>0</v>
      </c>
      <c r="I8" s="20">
        <f t="shared" ref="I8:K8" si="10">+I4+I5+I6-I7</f>
        <v>0</v>
      </c>
      <c r="J8" s="20">
        <f t="shared" si="10"/>
        <v>0</v>
      </c>
      <c r="K8" s="20">
        <f t="shared" si="10"/>
        <v>0</v>
      </c>
    </row>
    <row r="9" spans="2:15" x14ac:dyDescent="0.25">
      <c r="D9" s="5"/>
      <c r="E9" s="5"/>
      <c r="F9" s="5"/>
    </row>
    <row r="10" spans="2:15" x14ac:dyDescent="0.25">
      <c r="B10" s="2" t="s">
        <v>160</v>
      </c>
      <c r="D10" s="5"/>
      <c r="E10" s="5"/>
      <c r="F10" s="5"/>
    </row>
    <row r="11" spans="2:15" x14ac:dyDescent="0.25">
      <c r="B11" s="1" t="s">
        <v>90</v>
      </c>
      <c r="D11" s="16">
        <f>+Assumptions!D3</f>
        <v>1200</v>
      </c>
      <c r="E11" s="16">
        <f>+Assumptions!E3</f>
        <v>1416</v>
      </c>
      <c r="F11" s="16">
        <f>+Assumptions!F3</f>
        <v>1628.3999999999999</v>
      </c>
      <c r="G11" s="16">
        <f>+Assumptions!G3</f>
        <v>1891.1521678384663</v>
      </c>
      <c r="H11" s="16">
        <f>+Assumptions!H3</f>
        <v>2162.0741570476584</v>
      </c>
      <c r="I11" s="16">
        <f>+Assumptions!I3</f>
        <v>2458.9805204709287</v>
      </c>
      <c r="J11" s="16">
        <f>+Assumptions!J3</f>
        <v>2784.0313567047533</v>
      </c>
      <c r="K11" s="16">
        <f>+Assumptions!K3</f>
        <v>3139.5534932477312</v>
      </c>
    </row>
    <row r="12" spans="2:15" x14ac:dyDescent="0.25">
      <c r="B12" s="1" t="s">
        <v>156</v>
      </c>
      <c r="D12" s="16">
        <f>+D5</f>
        <v>36</v>
      </c>
      <c r="E12" s="16">
        <f t="shared" ref="E12:F12" si="11">+E5</f>
        <v>42.48</v>
      </c>
      <c r="F12" s="16">
        <f t="shared" si="11"/>
        <v>48.851999999999997</v>
      </c>
      <c r="G12" s="16">
        <f>+G11*G13</f>
        <v>56.734565035153985</v>
      </c>
      <c r="H12" s="16">
        <f t="shared" ref="H12" si="12">+H11*H13</f>
        <v>64.862224711429747</v>
      </c>
      <c r="I12" s="16">
        <f t="shared" ref="I12:K12" si="13">+I11*I13</f>
        <v>73.769415614127851</v>
      </c>
      <c r="J12" s="16">
        <f t="shared" si="13"/>
        <v>83.520940701142592</v>
      </c>
      <c r="K12" s="16">
        <f t="shared" si="13"/>
        <v>94.18660479743194</v>
      </c>
    </row>
    <row r="13" spans="2:15" x14ac:dyDescent="0.25">
      <c r="B13" s="1" t="s">
        <v>91</v>
      </c>
      <c r="D13" s="7">
        <f>+D12/D11</f>
        <v>0.03</v>
      </c>
      <c r="E13" s="7">
        <f t="shared" ref="E13:F13" si="14">+E12/E11</f>
        <v>0.03</v>
      </c>
      <c r="F13" s="7">
        <f t="shared" si="14"/>
        <v>0.03</v>
      </c>
      <c r="G13" s="46">
        <v>0.03</v>
      </c>
      <c r="H13" s="46">
        <v>0.03</v>
      </c>
      <c r="I13" s="46">
        <v>0.03</v>
      </c>
      <c r="J13" s="46">
        <v>0.03</v>
      </c>
      <c r="K13" s="46">
        <v>0.03</v>
      </c>
    </row>
    <row r="14" spans="2:15" x14ac:dyDescent="0.25">
      <c r="D14" s="5"/>
      <c r="E14" s="5"/>
      <c r="F14" s="5"/>
    </row>
    <row r="15" spans="2:15" x14ac:dyDescent="0.25">
      <c r="B15" s="2" t="s">
        <v>57</v>
      </c>
    </row>
    <row r="16" spans="2:15" x14ac:dyDescent="0.25">
      <c r="B16" s="1" t="s">
        <v>52</v>
      </c>
      <c r="C16" s="68">
        <v>50</v>
      </c>
      <c r="D16" s="16"/>
      <c r="E16" s="16"/>
      <c r="F16" s="16"/>
      <c r="G16" s="16"/>
      <c r="H16" s="16"/>
      <c r="I16" s="16"/>
      <c r="J16" s="16"/>
      <c r="K16" s="16"/>
    </row>
    <row r="17" spans="2:15" x14ac:dyDescent="0.25">
      <c r="B17" s="1" t="s">
        <v>55</v>
      </c>
      <c r="C17" s="68">
        <v>5</v>
      </c>
      <c r="D17" s="16"/>
      <c r="E17" s="16"/>
      <c r="F17" s="16"/>
      <c r="G17" s="16"/>
      <c r="H17" s="16"/>
      <c r="I17" s="16"/>
      <c r="J17" s="16"/>
      <c r="K17" s="16"/>
    </row>
    <row r="18" spans="2:15" x14ac:dyDescent="0.25">
      <c r="B18" s="1" t="s">
        <v>51</v>
      </c>
      <c r="C18" s="16"/>
      <c r="D18" s="16">
        <f>+C16</f>
        <v>50</v>
      </c>
      <c r="E18" s="16">
        <f>+D21</f>
        <v>40</v>
      </c>
      <c r="F18" s="16">
        <f>+E21</f>
        <v>30</v>
      </c>
      <c r="G18" s="16">
        <f>+F21</f>
        <v>20</v>
      </c>
      <c r="H18" s="16">
        <f>+G21</f>
        <v>10</v>
      </c>
      <c r="I18" s="16"/>
      <c r="J18" s="16"/>
      <c r="K18" s="16"/>
      <c r="L18" s="16"/>
      <c r="M18" s="16"/>
      <c r="N18" s="16"/>
      <c r="O18" s="16"/>
    </row>
    <row r="19" spans="2:15" x14ac:dyDescent="0.25">
      <c r="B19" s="1" t="s">
        <v>52</v>
      </c>
      <c r="C19" s="16"/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/>
      <c r="J19" s="16"/>
      <c r="K19" s="16"/>
      <c r="L19" s="16"/>
      <c r="M19" s="16"/>
      <c r="N19" s="16"/>
      <c r="O19" s="16"/>
    </row>
    <row r="20" spans="2:15" x14ac:dyDescent="0.25">
      <c r="B20" s="1" t="s">
        <v>53</v>
      </c>
      <c r="C20" s="16"/>
      <c r="D20" s="16">
        <f>-$C$16/$C$17</f>
        <v>-10</v>
      </c>
      <c r="E20" s="16">
        <f>-$C$16/$C$17</f>
        <v>-10</v>
      </c>
      <c r="F20" s="16">
        <f>-$C$16/$C$17</f>
        <v>-10</v>
      </c>
      <c r="G20" s="16">
        <f>-$C$16/$C$17</f>
        <v>-10</v>
      </c>
      <c r="H20" s="16">
        <f>-$C$16/$C$17</f>
        <v>-10</v>
      </c>
      <c r="I20" s="16"/>
      <c r="J20" s="16"/>
      <c r="K20" s="16"/>
      <c r="L20" s="16"/>
      <c r="M20" s="16"/>
      <c r="N20" s="16"/>
      <c r="O20" s="16"/>
    </row>
    <row r="21" spans="2:15" x14ac:dyDescent="0.25">
      <c r="B21" s="12" t="s">
        <v>56</v>
      </c>
      <c r="C21" s="18">
        <f>+C16</f>
        <v>50</v>
      </c>
      <c r="D21" s="18">
        <f>+D18+D20+D19</f>
        <v>40</v>
      </c>
      <c r="E21" s="18">
        <f t="shared" ref="E21:H21" si="15">+E18+E20+E19</f>
        <v>30</v>
      </c>
      <c r="F21" s="18">
        <f t="shared" si="15"/>
        <v>20</v>
      </c>
      <c r="G21" s="18">
        <f t="shared" si="15"/>
        <v>10</v>
      </c>
      <c r="H21" s="18">
        <f t="shared" si="15"/>
        <v>0</v>
      </c>
      <c r="I21" s="51"/>
      <c r="J21" s="51"/>
      <c r="K21" s="51"/>
      <c r="L21" s="18"/>
      <c r="M21" s="18"/>
      <c r="N21" s="18"/>
      <c r="O21" s="18"/>
    </row>
    <row r="22" spans="2:15" x14ac:dyDescent="0.25">
      <c r="C22" s="13"/>
      <c r="D22" s="13"/>
      <c r="E22" s="13"/>
      <c r="F22" s="13"/>
      <c r="G22" s="13"/>
      <c r="H22" s="13"/>
      <c r="I22" s="13"/>
      <c r="J22" s="13"/>
      <c r="K22" s="13"/>
    </row>
    <row r="23" spans="2:15" x14ac:dyDescent="0.25">
      <c r="B23" s="2" t="s">
        <v>58</v>
      </c>
      <c r="C23" s="13"/>
      <c r="D23" s="13"/>
      <c r="E23" s="13"/>
      <c r="F23" s="13"/>
      <c r="G23" s="13"/>
      <c r="H23" s="13"/>
      <c r="I23" s="13"/>
      <c r="J23" s="13"/>
      <c r="K23" s="13"/>
    </row>
    <row r="24" spans="2:15" x14ac:dyDescent="0.25">
      <c r="B24" s="1" t="s">
        <v>52</v>
      </c>
      <c r="C24" s="68">
        <v>36</v>
      </c>
      <c r="D24" s="16"/>
      <c r="E24" s="16"/>
      <c r="F24" s="16"/>
      <c r="G24" s="16"/>
      <c r="H24" s="16"/>
      <c r="I24" s="16"/>
      <c r="J24" s="16"/>
      <c r="K24" s="16"/>
    </row>
    <row r="25" spans="2:15" x14ac:dyDescent="0.25">
      <c r="B25" s="1" t="s">
        <v>55</v>
      </c>
      <c r="C25" s="68">
        <v>5</v>
      </c>
      <c r="D25" s="16"/>
      <c r="E25" s="16"/>
      <c r="F25" s="16"/>
      <c r="G25" s="16"/>
      <c r="H25" s="16"/>
      <c r="I25" s="16"/>
      <c r="J25" s="16"/>
      <c r="K25" s="16"/>
    </row>
    <row r="26" spans="2:15" x14ac:dyDescent="0.25">
      <c r="B26" s="1" t="s">
        <v>51</v>
      </c>
      <c r="C26" s="16"/>
      <c r="D26" s="16">
        <v>0</v>
      </c>
      <c r="E26" s="16">
        <f>+D29</f>
        <v>36</v>
      </c>
      <c r="F26" s="16">
        <f>+E29</f>
        <v>28.8</v>
      </c>
      <c r="G26" s="16">
        <f>+F29</f>
        <v>21.6</v>
      </c>
      <c r="H26" s="16">
        <f>+G29</f>
        <v>14.400000000000002</v>
      </c>
      <c r="I26" s="16">
        <f>+H29</f>
        <v>7.200000000000002</v>
      </c>
      <c r="J26" s="16"/>
      <c r="K26" s="16"/>
      <c r="L26" s="16"/>
      <c r="M26" s="16"/>
      <c r="N26" s="16"/>
      <c r="O26" s="16"/>
    </row>
    <row r="27" spans="2:15" x14ac:dyDescent="0.25">
      <c r="B27" s="1" t="s">
        <v>52</v>
      </c>
      <c r="C27" s="16"/>
      <c r="D27" s="16">
        <f>+C24</f>
        <v>36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/>
      <c r="K27" s="16"/>
      <c r="L27" s="16"/>
      <c r="M27" s="16"/>
      <c r="N27" s="16"/>
      <c r="O27" s="16"/>
    </row>
    <row r="28" spans="2:15" x14ac:dyDescent="0.25">
      <c r="B28" s="1" t="s">
        <v>53</v>
      </c>
      <c r="C28" s="16"/>
      <c r="D28" s="16">
        <v>0</v>
      </c>
      <c r="E28" s="16">
        <f>-$C$24/$C$25</f>
        <v>-7.2</v>
      </c>
      <c r="F28" s="16">
        <f>-$C$24/$C$25</f>
        <v>-7.2</v>
      </c>
      <c r="G28" s="16">
        <f>-$C$24/$C$25</f>
        <v>-7.2</v>
      </c>
      <c r="H28" s="16">
        <f>-$C$24/$C$25</f>
        <v>-7.2</v>
      </c>
      <c r="I28" s="16">
        <f>-$C$24/$C$25</f>
        <v>-7.2</v>
      </c>
      <c r="J28" s="16"/>
      <c r="K28" s="16"/>
      <c r="L28" s="16"/>
      <c r="M28" s="16"/>
      <c r="N28" s="16"/>
      <c r="O28" s="16"/>
    </row>
    <row r="29" spans="2:15" x14ac:dyDescent="0.25">
      <c r="B29" s="12" t="s">
        <v>56</v>
      </c>
      <c r="C29" s="18"/>
      <c r="D29" s="18">
        <f>+D27+D28</f>
        <v>36</v>
      </c>
      <c r="E29" s="18">
        <f>+E26+E28+E27</f>
        <v>28.8</v>
      </c>
      <c r="F29" s="18">
        <f t="shared" ref="F29:I29" si="16">+F26+F28+F27</f>
        <v>21.6</v>
      </c>
      <c r="G29" s="18">
        <f t="shared" si="16"/>
        <v>14.400000000000002</v>
      </c>
      <c r="H29" s="18">
        <f t="shared" si="16"/>
        <v>7.200000000000002</v>
      </c>
      <c r="I29" s="18">
        <f t="shared" si="16"/>
        <v>1.7763568394002505E-15</v>
      </c>
      <c r="J29" s="51"/>
      <c r="K29" s="51"/>
      <c r="L29" s="18"/>
      <c r="M29" s="18"/>
      <c r="N29" s="18"/>
      <c r="O29" s="18"/>
    </row>
    <row r="30" spans="2:15" x14ac:dyDescent="0.25">
      <c r="C30" s="13"/>
      <c r="D30" s="13"/>
      <c r="E30" s="13"/>
      <c r="F30" s="13"/>
      <c r="G30" s="13"/>
      <c r="H30" s="13"/>
      <c r="I30" s="13"/>
      <c r="J30" s="13"/>
      <c r="K30" s="13"/>
    </row>
    <row r="31" spans="2:15" x14ac:dyDescent="0.25">
      <c r="B31" s="2" t="s">
        <v>59</v>
      </c>
      <c r="C31" s="13"/>
      <c r="D31" s="13"/>
      <c r="E31" s="13"/>
      <c r="F31" s="13"/>
      <c r="G31" s="13"/>
      <c r="H31" s="13"/>
      <c r="I31" s="13"/>
      <c r="J31" s="13"/>
      <c r="K31" s="13"/>
    </row>
    <row r="32" spans="2:15" x14ac:dyDescent="0.25">
      <c r="B32" s="1" t="s">
        <v>52</v>
      </c>
      <c r="C32" s="68">
        <v>42.48</v>
      </c>
      <c r="D32" s="16"/>
      <c r="E32" s="16"/>
      <c r="F32" s="16"/>
      <c r="G32" s="16"/>
      <c r="H32" s="16"/>
      <c r="I32" s="16"/>
      <c r="J32" s="16"/>
      <c r="K32" s="16"/>
    </row>
    <row r="33" spans="2:15" x14ac:dyDescent="0.25">
      <c r="B33" s="1" t="s">
        <v>55</v>
      </c>
      <c r="C33" s="68">
        <v>5</v>
      </c>
      <c r="D33" s="16"/>
      <c r="E33" s="16"/>
      <c r="F33" s="16"/>
      <c r="G33" s="16"/>
      <c r="H33" s="16"/>
      <c r="I33" s="16"/>
      <c r="J33" s="16"/>
      <c r="K33" s="16"/>
    </row>
    <row r="34" spans="2:15" x14ac:dyDescent="0.25">
      <c r="B34" s="1" t="s">
        <v>51</v>
      </c>
      <c r="C34" s="16"/>
      <c r="D34" s="16"/>
      <c r="E34" s="16"/>
      <c r="F34" s="16">
        <f>+E37</f>
        <v>42.48</v>
      </c>
      <c r="G34" s="16">
        <f>+F37</f>
        <v>33.983999999999995</v>
      </c>
      <c r="H34" s="16">
        <f>+G37</f>
        <v>25.487999999999996</v>
      </c>
      <c r="I34" s="16">
        <f>+H37</f>
        <v>16.991999999999997</v>
      </c>
      <c r="J34" s="16">
        <f>+I37</f>
        <v>8.4959999999999987</v>
      </c>
      <c r="K34" s="16"/>
      <c r="L34" s="16"/>
      <c r="M34" s="16"/>
      <c r="N34" s="16"/>
      <c r="O34" s="16"/>
    </row>
    <row r="35" spans="2:15" x14ac:dyDescent="0.25">
      <c r="B35" s="1" t="s">
        <v>52</v>
      </c>
      <c r="C35" s="16"/>
      <c r="D35" s="16"/>
      <c r="E35" s="16">
        <f>+C32</f>
        <v>42.48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/>
      <c r="L35" s="16"/>
      <c r="M35" s="16"/>
      <c r="N35" s="16"/>
      <c r="O35" s="16"/>
    </row>
    <row r="36" spans="2:15" x14ac:dyDescent="0.25">
      <c r="B36" s="1" t="s">
        <v>53</v>
      </c>
      <c r="C36" s="16"/>
      <c r="D36" s="16"/>
      <c r="E36" s="16"/>
      <c r="F36" s="16">
        <f>-$C$32/$C$33</f>
        <v>-8.4959999999999987</v>
      </c>
      <c r="G36" s="16">
        <f>-$C$32/$C$33</f>
        <v>-8.4959999999999987</v>
      </c>
      <c r="H36" s="16">
        <f>-$C$32/$C$33</f>
        <v>-8.4959999999999987</v>
      </c>
      <c r="I36" s="16">
        <f>-$C$32/$C$33</f>
        <v>-8.4959999999999987</v>
      </c>
      <c r="J36" s="16">
        <f>-$C$32/$C$33</f>
        <v>-8.4959999999999987</v>
      </c>
      <c r="K36" s="16"/>
      <c r="L36" s="16"/>
      <c r="M36" s="16"/>
      <c r="N36" s="16"/>
      <c r="O36" s="16"/>
    </row>
    <row r="37" spans="2:15" x14ac:dyDescent="0.25">
      <c r="B37" s="12" t="s">
        <v>56</v>
      </c>
      <c r="C37" s="18"/>
      <c r="D37" s="18"/>
      <c r="E37" s="18">
        <f>+E34+E36+E35</f>
        <v>42.48</v>
      </c>
      <c r="F37" s="18">
        <f t="shared" ref="F37" si="17">+F34+F36+F35</f>
        <v>33.983999999999995</v>
      </c>
      <c r="G37" s="18">
        <f t="shared" ref="G37" si="18">+G34+G36+G35</f>
        <v>25.487999999999996</v>
      </c>
      <c r="H37" s="18">
        <f t="shared" ref="H37" si="19">+H34+H36+H35</f>
        <v>16.991999999999997</v>
      </c>
      <c r="I37" s="18">
        <f t="shared" ref="I37:J37" si="20">+I34+I36+I35</f>
        <v>8.4959999999999987</v>
      </c>
      <c r="J37" s="18">
        <f t="shared" si="20"/>
        <v>0</v>
      </c>
      <c r="K37" s="51"/>
      <c r="L37" s="18"/>
      <c r="M37" s="18"/>
      <c r="N37" s="18"/>
      <c r="O37" s="18"/>
    </row>
    <row r="38" spans="2:15" x14ac:dyDescent="0.25">
      <c r="C38" s="13"/>
      <c r="D38" s="13"/>
      <c r="E38" s="13"/>
      <c r="F38" s="13"/>
      <c r="G38" s="13"/>
      <c r="H38" s="13"/>
      <c r="I38" s="13"/>
      <c r="J38" s="13"/>
      <c r="K38" s="13"/>
    </row>
    <row r="39" spans="2:15" x14ac:dyDescent="0.25">
      <c r="B39" s="2" t="s">
        <v>60</v>
      </c>
      <c r="C39" s="13"/>
      <c r="D39" s="13"/>
      <c r="E39" s="13"/>
      <c r="F39" s="13"/>
      <c r="G39" s="13"/>
      <c r="H39" s="13"/>
      <c r="I39" s="13"/>
      <c r="J39" s="13"/>
      <c r="K39" s="13"/>
    </row>
    <row r="40" spans="2:15" x14ac:dyDescent="0.25">
      <c r="B40" s="1" t="s">
        <v>52</v>
      </c>
      <c r="C40" s="68">
        <v>48.851999999999997</v>
      </c>
      <c r="D40" s="16"/>
      <c r="E40" s="16"/>
      <c r="F40" s="16"/>
      <c r="G40" s="16"/>
      <c r="H40" s="16"/>
      <c r="I40" s="16"/>
      <c r="J40" s="16"/>
      <c r="K40" s="16"/>
    </row>
    <row r="41" spans="2:15" x14ac:dyDescent="0.25">
      <c r="B41" s="1" t="s">
        <v>55</v>
      </c>
      <c r="C41" s="68">
        <v>5</v>
      </c>
      <c r="D41" s="16"/>
      <c r="E41" s="16"/>
      <c r="F41" s="16"/>
      <c r="G41" s="16"/>
      <c r="H41" s="16"/>
      <c r="I41" s="16"/>
      <c r="J41" s="16"/>
      <c r="K41" s="16"/>
    </row>
    <row r="42" spans="2:15" x14ac:dyDescent="0.25">
      <c r="B42" s="1" t="s">
        <v>51</v>
      </c>
      <c r="C42" s="16"/>
      <c r="D42" s="16"/>
      <c r="E42" s="16"/>
      <c r="F42" s="16"/>
      <c r="G42" s="16">
        <f>+F45</f>
        <v>48.851999999999997</v>
      </c>
      <c r="H42" s="16">
        <f>+G45</f>
        <v>39.081599999999995</v>
      </c>
      <c r="I42" s="16">
        <f>+H45</f>
        <v>29.311199999999996</v>
      </c>
      <c r="J42" s="16">
        <f>+I45</f>
        <v>19.540799999999997</v>
      </c>
      <c r="K42" s="16">
        <f>+J45</f>
        <v>9.7703999999999986</v>
      </c>
      <c r="L42" s="16"/>
      <c r="M42" s="16"/>
      <c r="N42" s="16"/>
      <c r="O42" s="16"/>
    </row>
    <row r="43" spans="2:15" x14ac:dyDescent="0.25">
      <c r="B43" s="1" t="s">
        <v>52</v>
      </c>
      <c r="C43" s="16"/>
      <c r="D43" s="16"/>
      <c r="E43" s="16"/>
      <c r="F43" s="16">
        <f>+C40</f>
        <v>48.851999999999997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/>
      <c r="M43" s="16"/>
      <c r="N43" s="16"/>
      <c r="O43" s="16"/>
    </row>
    <row r="44" spans="2:15" x14ac:dyDescent="0.25">
      <c r="B44" s="1" t="s">
        <v>53</v>
      </c>
      <c r="C44" s="16"/>
      <c r="D44" s="16"/>
      <c r="E44" s="16"/>
      <c r="F44" s="16"/>
      <c r="G44" s="16">
        <f>-$C$40/$C$41</f>
        <v>-9.7703999999999986</v>
      </c>
      <c r="H44" s="16">
        <f>-$C$40/$C$41</f>
        <v>-9.7703999999999986</v>
      </c>
      <c r="I44" s="16">
        <f>-$C$40/$C$41</f>
        <v>-9.7703999999999986</v>
      </c>
      <c r="J44" s="16">
        <f>-$C$40/$C$41</f>
        <v>-9.7703999999999986</v>
      </c>
      <c r="K44" s="16">
        <f>-$C$40/$C$41</f>
        <v>-9.7703999999999986</v>
      </c>
      <c r="L44" s="16"/>
      <c r="M44" s="16"/>
      <c r="N44" s="16"/>
      <c r="O44" s="16"/>
    </row>
    <row r="45" spans="2:15" x14ac:dyDescent="0.25">
      <c r="B45" s="12" t="s">
        <v>56</v>
      </c>
      <c r="C45" s="18"/>
      <c r="D45" s="18"/>
      <c r="E45" s="18"/>
      <c r="F45" s="18">
        <f t="shared" ref="F45" si="21">+F42+F44+F43</f>
        <v>48.851999999999997</v>
      </c>
      <c r="G45" s="18">
        <f t="shared" ref="G45" si="22">+G42+G44+G43</f>
        <v>39.081599999999995</v>
      </c>
      <c r="H45" s="18">
        <f t="shared" ref="H45" si="23">+H42+H44+H43</f>
        <v>29.311199999999996</v>
      </c>
      <c r="I45" s="18">
        <f t="shared" ref="I45" si="24">+I42+I44+I43</f>
        <v>19.540799999999997</v>
      </c>
      <c r="J45" s="18">
        <f t="shared" ref="J45:K45" si="25">+J42+J44+J43</f>
        <v>9.7703999999999986</v>
      </c>
      <c r="K45" s="18">
        <f t="shared" si="25"/>
        <v>0</v>
      </c>
      <c r="L45" s="18"/>
      <c r="M45" s="18"/>
      <c r="N45" s="18"/>
      <c r="O45" s="18"/>
    </row>
    <row r="47" spans="2:15" x14ac:dyDescent="0.25">
      <c r="B47" s="2" t="s">
        <v>129</v>
      </c>
      <c r="C47" s="13"/>
      <c r="D47" s="13"/>
      <c r="E47" s="13"/>
      <c r="F47" s="13"/>
      <c r="G47" s="13"/>
      <c r="H47" s="13"/>
      <c r="I47" s="13"/>
      <c r="J47" s="13"/>
      <c r="K47" s="13"/>
    </row>
    <row r="48" spans="2:15" x14ac:dyDescent="0.25">
      <c r="B48" s="1" t="s">
        <v>52</v>
      </c>
      <c r="C48" s="45">
        <f>+G12</f>
        <v>56.734565035153985</v>
      </c>
      <c r="D48" s="16"/>
      <c r="E48" s="16"/>
      <c r="F48" s="16"/>
      <c r="G48" s="16"/>
      <c r="H48" s="16"/>
      <c r="I48" s="16"/>
      <c r="J48" s="16"/>
      <c r="K48" s="16"/>
    </row>
    <row r="49" spans="2:15" x14ac:dyDescent="0.25">
      <c r="B49" s="1" t="s">
        <v>55</v>
      </c>
      <c r="C49" s="45">
        <v>5</v>
      </c>
      <c r="D49" s="16"/>
      <c r="E49" s="16"/>
      <c r="F49" s="16"/>
      <c r="G49" s="16"/>
      <c r="H49" s="16"/>
      <c r="I49" s="16"/>
      <c r="J49" s="16"/>
      <c r="K49" s="16"/>
    </row>
    <row r="50" spans="2:15" x14ac:dyDescent="0.25">
      <c r="B50" s="1" t="s">
        <v>51</v>
      </c>
      <c r="C50" s="16"/>
      <c r="D50" s="16"/>
      <c r="E50" s="16"/>
      <c r="F50" s="16"/>
      <c r="G50" s="16"/>
      <c r="H50" s="16">
        <f>+G53</f>
        <v>45.387652028123185</v>
      </c>
      <c r="I50" s="16">
        <f t="shared" ref="I50:K50" si="26">+H53</f>
        <v>34.040739021092392</v>
      </c>
      <c r="J50" s="16">
        <f t="shared" si="26"/>
        <v>22.693826014061596</v>
      </c>
      <c r="K50" s="16">
        <f t="shared" si="26"/>
        <v>11.3469130070308</v>
      </c>
      <c r="L50" s="16"/>
      <c r="M50" s="16"/>
      <c r="N50" s="16"/>
      <c r="O50" s="16"/>
    </row>
    <row r="51" spans="2:15" x14ac:dyDescent="0.25">
      <c r="B51" s="1" t="s">
        <v>52</v>
      </c>
      <c r="C51" s="16"/>
      <c r="D51" s="16"/>
      <c r="E51" s="16"/>
      <c r="F51" s="16"/>
      <c r="G51" s="16">
        <f>+$C$48</f>
        <v>56.734565035153985</v>
      </c>
      <c r="H51" s="16">
        <v>0</v>
      </c>
      <c r="I51" s="16">
        <v>0</v>
      </c>
      <c r="J51" s="16">
        <v>0</v>
      </c>
      <c r="K51" s="16">
        <v>0</v>
      </c>
      <c r="L51" s="16"/>
      <c r="M51" s="16"/>
      <c r="N51" s="16"/>
      <c r="O51" s="16"/>
    </row>
    <row r="52" spans="2:15" x14ac:dyDescent="0.25">
      <c r="B52" s="1" t="s">
        <v>53</v>
      </c>
      <c r="C52" s="16"/>
      <c r="D52" s="16"/>
      <c r="E52" s="16"/>
      <c r="F52" s="16"/>
      <c r="G52" s="16">
        <f>-$C$48/$C$49</f>
        <v>-11.346913007030796</v>
      </c>
      <c r="H52" s="16">
        <f>-$C$48/$C$49</f>
        <v>-11.346913007030796</v>
      </c>
      <c r="I52" s="16">
        <f t="shared" ref="I52:K52" si="27">-$C$48/$C$49</f>
        <v>-11.346913007030796</v>
      </c>
      <c r="J52" s="16">
        <f t="shared" si="27"/>
        <v>-11.346913007030796</v>
      </c>
      <c r="K52" s="16">
        <f t="shared" si="27"/>
        <v>-11.346913007030796</v>
      </c>
      <c r="L52" s="16"/>
      <c r="M52" s="16"/>
      <c r="N52" s="16"/>
      <c r="O52" s="16"/>
    </row>
    <row r="53" spans="2:15" x14ac:dyDescent="0.25">
      <c r="B53" s="12" t="s">
        <v>56</v>
      </c>
      <c r="C53" s="18"/>
      <c r="D53" s="18"/>
      <c r="E53" s="18"/>
      <c r="F53" s="18"/>
      <c r="G53" s="18">
        <f>+G51+G52+G50</f>
        <v>45.387652028123185</v>
      </c>
      <c r="H53" s="18">
        <f>+H51+H52+H50</f>
        <v>34.040739021092392</v>
      </c>
      <c r="I53" s="18">
        <f t="shared" ref="I53:K53" si="28">+I51+I52+I50</f>
        <v>22.693826014061596</v>
      </c>
      <c r="J53" s="18">
        <f t="shared" si="28"/>
        <v>11.3469130070308</v>
      </c>
      <c r="K53" s="18">
        <f t="shared" si="28"/>
        <v>0</v>
      </c>
      <c r="L53" s="18"/>
      <c r="M53" s="18"/>
      <c r="N53" s="18"/>
      <c r="O53" s="18"/>
    </row>
    <row r="55" spans="2:15" x14ac:dyDescent="0.25">
      <c r="B55" s="2" t="s">
        <v>130</v>
      </c>
      <c r="C55" s="13"/>
      <c r="D55" s="13"/>
      <c r="E55" s="13"/>
      <c r="F55" s="13"/>
      <c r="G55" s="13"/>
      <c r="H55" s="13"/>
      <c r="I55" s="13"/>
      <c r="J55" s="13"/>
      <c r="K55" s="13"/>
    </row>
    <row r="56" spans="2:15" x14ac:dyDescent="0.25">
      <c r="B56" s="1" t="s">
        <v>52</v>
      </c>
      <c r="C56" s="45">
        <f>+H12</f>
        <v>64.862224711429747</v>
      </c>
      <c r="D56" s="16"/>
      <c r="E56" s="16"/>
      <c r="F56" s="16"/>
      <c r="G56" s="16"/>
      <c r="H56" s="16"/>
      <c r="I56" s="16"/>
      <c r="J56" s="16"/>
      <c r="K56" s="16"/>
    </row>
    <row r="57" spans="2:15" x14ac:dyDescent="0.25">
      <c r="B57" s="1" t="s">
        <v>55</v>
      </c>
      <c r="C57" s="45">
        <v>5</v>
      </c>
      <c r="D57" s="16"/>
      <c r="E57" s="16"/>
      <c r="F57" s="16"/>
      <c r="G57" s="16"/>
      <c r="H57" s="16"/>
      <c r="I57" s="16"/>
      <c r="J57" s="16"/>
      <c r="K57" s="16"/>
    </row>
    <row r="58" spans="2:15" x14ac:dyDescent="0.25">
      <c r="B58" s="1" t="s">
        <v>51</v>
      </c>
      <c r="C58" s="16"/>
      <c r="D58" s="16"/>
      <c r="E58" s="16"/>
      <c r="F58" s="16"/>
      <c r="G58" s="16"/>
      <c r="H58" s="16"/>
      <c r="I58" s="16">
        <f>+H61</f>
        <v>51.8897797691438</v>
      </c>
      <c r="J58" s="16">
        <f>+I61</f>
        <v>38.917334826857854</v>
      </c>
      <c r="K58" s="16">
        <f>+J61</f>
        <v>25.944889884571904</v>
      </c>
      <c r="L58" s="16"/>
      <c r="M58" s="16"/>
      <c r="N58" s="16"/>
      <c r="O58" s="16"/>
    </row>
    <row r="59" spans="2:15" x14ac:dyDescent="0.25">
      <c r="B59" s="1" t="s">
        <v>52</v>
      </c>
      <c r="C59" s="16"/>
      <c r="D59" s="16"/>
      <c r="E59" s="16"/>
      <c r="F59" s="16"/>
      <c r="G59" s="16"/>
      <c r="H59" s="16">
        <f>+C56</f>
        <v>64.862224711429747</v>
      </c>
      <c r="I59" s="16">
        <v>0</v>
      </c>
      <c r="J59" s="16">
        <v>0</v>
      </c>
      <c r="K59" s="16">
        <v>0</v>
      </c>
      <c r="L59" s="16"/>
      <c r="M59" s="16"/>
      <c r="N59" s="16"/>
      <c r="O59" s="16"/>
    </row>
    <row r="60" spans="2:15" x14ac:dyDescent="0.25">
      <c r="B60" s="1" t="s">
        <v>53</v>
      </c>
      <c r="C60" s="16"/>
      <c r="D60" s="16"/>
      <c r="E60" s="16"/>
      <c r="F60" s="16"/>
      <c r="G60" s="16"/>
      <c r="H60" s="16">
        <f t="shared" ref="H60:K60" si="29">-$C56/$C57</f>
        <v>-12.97244494228595</v>
      </c>
      <c r="I60" s="16">
        <f t="shared" si="29"/>
        <v>-12.97244494228595</v>
      </c>
      <c r="J60" s="16">
        <f t="shared" si="29"/>
        <v>-12.97244494228595</v>
      </c>
      <c r="K60" s="16">
        <f t="shared" si="29"/>
        <v>-12.97244494228595</v>
      </c>
      <c r="L60" s="16"/>
      <c r="M60" s="16"/>
      <c r="N60" s="16"/>
      <c r="O60" s="16"/>
    </row>
    <row r="61" spans="2:15" x14ac:dyDescent="0.25">
      <c r="B61" s="12" t="s">
        <v>56</v>
      </c>
      <c r="C61" s="18"/>
      <c r="D61" s="18"/>
      <c r="E61" s="18"/>
      <c r="F61" s="18"/>
      <c r="G61" s="18"/>
      <c r="H61" s="18">
        <f t="shared" ref="H61" si="30">+H58+H60+H59</f>
        <v>51.8897797691438</v>
      </c>
      <c r="I61" s="18">
        <f t="shared" ref="I61" si="31">+I58+I60+I59</f>
        <v>38.917334826857854</v>
      </c>
      <c r="J61" s="18">
        <f t="shared" ref="J61" si="32">+J58+J60+J59</f>
        <v>25.944889884571904</v>
      </c>
      <c r="K61" s="18">
        <f t="shared" ref="K61" si="33">+K58+K60+K59</f>
        <v>12.972444942285954</v>
      </c>
      <c r="L61" s="18"/>
      <c r="M61" s="18"/>
      <c r="N61" s="18"/>
      <c r="O61" s="18"/>
    </row>
    <row r="63" spans="2:15" x14ac:dyDescent="0.25">
      <c r="B63" s="2" t="s">
        <v>131</v>
      </c>
      <c r="C63" s="13"/>
      <c r="D63" s="13"/>
      <c r="E63" s="13"/>
      <c r="F63" s="13"/>
      <c r="G63" s="13"/>
      <c r="H63" s="13"/>
      <c r="I63" s="13"/>
      <c r="J63" s="13"/>
      <c r="K63" s="13"/>
    </row>
    <row r="64" spans="2:15" x14ac:dyDescent="0.25">
      <c r="B64" s="1" t="s">
        <v>52</v>
      </c>
      <c r="C64" s="45">
        <f>+I12</f>
        <v>73.769415614127851</v>
      </c>
      <c r="D64" s="16"/>
      <c r="E64" s="16"/>
      <c r="F64" s="16"/>
      <c r="G64" s="16"/>
      <c r="H64" s="16"/>
      <c r="I64" s="16"/>
      <c r="J64" s="16"/>
      <c r="K64" s="16"/>
    </row>
    <row r="65" spans="2:15" x14ac:dyDescent="0.25">
      <c r="B65" s="1" t="s">
        <v>55</v>
      </c>
      <c r="C65" s="45">
        <v>5</v>
      </c>
      <c r="D65" s="16"/>
      <c r="E65" s="16"/>
      <c r="F65" s="16"/>
      <c r="G65" s="16"/>
      <c r="H65" s="16"/>
      <c r="I65" s="16"/>
      <c r="J65" s="16"/>
      <c r="K65" s="16"/>
    </row>
    <row r="66" spans="2:15" x14ac:dyDescent="0.25">
      <c r="B66" s="1" t="s">
        <v>51</v>
      </c>
      <c r="C66" s="16"/>
      <c r="D66" s="16"/>
      <c r="E66" s="16"/>
      <c r="F66" s="16"/>
      <c r="G66" s="16"/>
      <c r="H66" s="16"/>
      <c r="I66" s="16"/>
      <c r="J66" s="16">
        <f>+I69</f>
        <v>59.015532491302281</v>
      </c>
      <c r="K66" s="16">
        <f>+J69</f>
        <v>44.261649368476711</v>
      </c>
      <c r="L66" s="16">
        <f t="shared" ref="L66:M66" si="34">+K69</f>
        <v>29.50776624565114</v>
      </c>
      <c r="M66" s="16">
        <f t="shared" si="34"/>
        <v>14.75388312282557</v>
      </c>
      <c r="N66" s="16"/>
      <c r="O66" s="16"/>
    </row>
    <row r="67" spans="2:15" x14ac:dyDescent="0.25">
      <c r="B67" s="1" t="s">
        <v>52</v>
      </c>
      <c r="C67" s="16"/>
      <c r="D67" s="16"/>
      <c r="E67" s="16"/>
      <c r="F67" s="16"/>
      <c r="G67" s="16"/>
      <c r="H67" s="16"/>
      <c r="I67" s="16">
        <f>+C64</f>
        <v>73.769415614127851</v>
      </c>
      <c r="J67" s="16">
        <v>0</v>
      </c>
      <c r="K67" s="16">
        <v>0</v>
      </c>
      <c r="L67" s="16">
        <v>0</v>
      </c>
      <c r="M67" s="16">
        <v>0</v>
      </c>
      <c r="N67" s="16"/>
      <c r="O67" s="16"/>
    </row>
    <row r="68" spans="2:15" x14ac:dyDescent="0.25">
      <c r="B68" s="1" t="s">
        <v>53</v>
      </c>
      <c r="C68" s="16"/>
      <c r="D68" s="16"/>
      <c r="E68" s="16"/>
      <c r="F68" s="16"/>
      <c r="G68" s="16"/>
      <c r="H68" s="16"/>
      <c r="I68" s="16">
        <f t="shared" ref="I68:K68" si="35">-$C64/$C65</f>
        <v>-14.75388312282557</v>
      </c>
      <c r="J68" s="16">
        <f t="shared" si="35"/>
        <v>-14.75388312282557</v>
      </c>
      <c r="K68" s="16">
        <f t="shared" si="35"/>
        <v>-14.75388312282557</v>
      </c>
      <c r="L68" s="16">
        <f t="shared" ref="L68:M68" si="36">-$C64/$C65</f>
        <v>-14.75388312282557</v>
      </c>
      <c r="M68" s="16">
        <f t="shared" si="36"/>
        <v>-14.75388312282557</v>
      </c>
      <c r="N68" s="16"/>
      <c r="O68" s="16"/>
    </row>
    <row r="69" spans="2:15" x14ac:dyDescent="0.25">
      <c r="B69" s="12" t="s">
        <v>56</v>
      </c>
      <c r="C69" s="18"/>
      <c r="D69" s="18"/>
      <c r="E69" s="18"/>
      <c r="F69" s="18"/>
      <c r="G69" s="18"/>
      <c r="H69" s="18"/>
      <c r="I69" s="18">
        <f t="shared" ref="I69" si="37">+I66+I68+I67</f>
        <v>59.015532491302281</v>
      </c>
      <c r="J69" s="18">
        <f t="shared" ref="J69" si="38">+J66+J68+J67</f>
        <v>44.261649368476711</v>
      </c>
      <c r="K69" s="18">
        <f t="shared" ref="K69:M69" si="39">+K66+K68+K67</f>
        <v>29.50776624565114</v>
      </c>
      <c r="L69" s="18">
        <f t="shared" si="39"/>
        <v>14.75388312282557</v>
      </c>
      <c r="M69" s="18">
        <f t="shared" si="39"/>
        <v>0</v>
      </c>
      <c r="N69" s="18"/>
      <c r="O69" s="18"/>
    </row>
    <row r="71" spans="2:15" x14ac:dyDescent="0.25">
      <c r="B71" s="2" t="s">
        <v>132</v>
      </c>
      <c r="C71" s="13"/>
      <c r="D71" s="13"/>
      <c r="E71" s="13"/>
      <c r="F71" s="13"/>
      <c r="G71" s="13"/>
      <c r="H71" s="13"/>
      <c r="I71" s="13"/>
      <c r="J71" s="13"/>
      <c r="K71" s="13"/>
    </row>
    <row r="72" spans="2:15" x14ac:dyDescent="0.25">
      <c r="B72" s="1" t="s">
        <v>52</v>
      </c>
      <c r="C72" s="45">
        <f>+J12</f>
        <v>83.520940701142592</v>
      </c>
      <c r="D72" s="16"/>
      <c r="E72" s="16"/>
      <c r="F72" s="16"/>
      <c r="G72" s="16"/>
      <c r="H72" s="16"/>
      <c r="I72" s="16"/>
      <c r="J72" s="16"/>
      <c r="K72" s="16"/>
    </row>
    <row r="73" spans="2:15" x14ac:dyDescent="0.25">
      <c r="B73" s="1" t="s">
        <v>55</v>
      </c>
      <c r="C73" s="45">
        <v>5</v>
      </c>
      <c r="D73" s="16"/>
      <c r="E73" s="16"/>
      <c r="F73" s="16"/>
      <c r="G73" s="16"/>
      <c r="H73" s="16"/>
      <c r="I73" s="16"/>
      <c r="J73" s="16"/>
      <c r="K73" s="16"/>
    </row>
    <row r="74" spans="2:15" x14ac:dyDescent="0.25">
      <c r="B74" s="1" t="s">
        <v>51</v>
      </c>
      <c r="C74" s="16"/>
      <c r="D74" s="16"/>
      <c r="E74" s="16"/>
      <c r="F74" s="16"/>
      <c r="G74" s="16"/>
      <c r="H74" s="16"/>
      <c r="I74" s="16"/>
      <c r="J74" s="16"/>
      <c r="K74" s="16">
        <f>+J77</f>
        <v>66.816752560914068</v>
      </c>
      <c r="L74" s="16">
        <f t="shared" ref="L74:N74" si="40">+K77</f>
        <v>50.112564420685551</v>
      </c>
      <c r="M74" s="16">
        <f t="shared" si="40"/>
        <v>33.408376280457034</v>
      </c>
      <c r="N74" s="16">
        <f t="shared" si="40"/>
        <v>16.704188140228517</v>
      </c>
    </row>
    <row r="75" spans="2:15" x14ac:dyDescent="0.25">
      <c r="B75" s="1" t="s">
        <v>52</v>
      </c>
      <c r="C75" s="16"/>
      <c r="D75" s="16"/>
      <c r="E75" s="16"/>
      <c r="F75" s="16"/>
      <c r="G75" s="16"/>
      <c r="H75" s="16"/>
      <c r="I75" s="16"/>
      <c r="J75" s="16">
        <f>+C72</f>
        <v>83.520940701142592</v>
      </c>
      <c r="K75" s="16">
        <v>0</v>
      </c>
      <c r="L75" s="16">
        <v>0</v>
      </c>
      <c r="M75" s="16">
        <v>0</v>
      </c>
      <c r="N75" s="16">
        <v>0</v>
      </c>
    </row>
    <row r="76" spans="2:15" x14ac:dyDescent="0.25">
      <c r="B76" s="1" t="s">
        <v>53</v>
      </c>
      <c r="C76" s="16"/>
      <c r="D76" s="16"/>
      <c r="E76" s="16"/>
      <c r="F76" s="16"/>
      <c r="G76" s="16"/>
      <c r="H76" s="16"/>
      <c r="I76" s="16"/>
      <c r="J76" s="16">
        <f t="shared" ref="J76:K76" si="41">-$C72/$C73</f>
        <v>-16.704188140228517</v>
      </c>
      <c r="K76" s="16">
        <f t="shared" si="41"/>
        <v>-16.704188140228517</v>
      </c>
      <c r="L76" s="16">
        <f t="shared" ref="L76:N76" si="42">-$C72/$C73</f>
        <v>-16.704188140228517</v>
      </c>
      <c r="M76" s="16">
        <f t="shared" si="42"/>
        <v>-16.704188140228517</v>
      </c>
      <c r="N76" s="16">
        <f t="shared" si="42"/>
        <v>-16.704188140228517</v>
      </c>
    </row>
    <row r="77" spans="2:15" x14ac:dyDescent="0.25">
      <c r="B77" s="12" t="s">
        <v>56</v>
      </c>
      <c r="C77" s="18"/>
      <c r="D77" s="18"/>
      <c r="E77" s="18"/>
      <c r="F77" s="18"/>
      <c r="G77" s="18"/>
      <c r="H77" s="18"/>
      <c r="I77" s="18"/>
      <c r="J77" s="18">
        <f t="shared" ref="J77" si="43">+J74+J76+J75</f>
        <v>66.816752560914068</v>
      </c>
      <c r="K77" s="18">
        <f t="shared" ref="K77:N77" si="44">+K74+K76+K75</f>
        <v>50.112564420685551</v>
      </c>
      <c r="L77" s="18">
        <f t="shared" si="44"/>
        <v>33.408376280457034</v>
      </c>
      <c r="M77" s="18">
        <f t="shared" si="44"/>
        <v>16.704188140228517</v>
      </c>
      <c r="N77" s="18">
        <f t="shared" si="44"/>
        <v>0</v>
      </c>
    </row>
    <row r="79" spans="2:15" x14ac:dyDescent="0.25">
      <c r="B79" s="2" t="s">
        <v>133</v>
      </c>
      <c r="C79" s="13"/>
      <c r="D79" s="13"/>
      <c r="E79" s="13"/>
      <c r="F79" s="13"/>
      <c r="G79" s="13"/>
      <c r="H79" s="13"/>
      <c r="I79" s="13"/>
      <c r="J79" s="13"/>
      <c r="K79" s="13"/>
    </row>
    <row r="80" spans="2:15" x14ac:dyDescent="0.25">
      <c r="B80" s="1" t="s">
        <v>52</v>
      </c>
      <c r="C80" s="45">
        <f>+K12</f>
        <v>94.18660479743194</v>
      </c>
      <c r="D80" s="16"/>
      <c r="E80" s="16"/>
      <c r="F80" s="16"/>
      <c r="G80" s="16"/>
      <c r="H80" s="16"/>
      <c r="I80" s="16"/>
      <c r="J80" s="16"/>
      <c r="K80" s="16"/>
    </row>
    <row r="81" spans="2:15" x14ac:dyDescent="0.25">
      <c r="B81" s="1" t="s">
        <v>55</v>
      </c>
      <c r="C81" s="45">
        <v>5</v>
      </c>
      <c r="D81" s="16"/>
      <c r="E81" s="16"/>
      <c r="F81" s="16"/>
      <c r="G81" s="16"/>
      <c r="H81" s="16"/>
      <c r="I81" s="16"/>
      <c r="J81" s="16"/>
      <c r="K81" s="16"/>
    </row>
    <row r="82" spans="2:15" x14ac:dyDescent="0.25">
      <c r="B82" s="1" t="s">
        <v>51</v>
      </c>
      <c r="C82" s="16"/>
      <c r="D82" s="16"/>
      <c r="E82" s="16"/>
      <c r="F82" s="16"/>
      <c r="G82" s="16"/>
      <c r="H82" s="16"/>
      <c r="I82" s="16"/>
      <c r="J82" s="16"/>
      <c r="K82" s="16"/>
      <c r="L82" s="16">
        <f>+K85</f>
        <v>75.349283837945549</v>
      </c>
      <c r="M82" s="16">
        <f t="shared" ref="M82:O82" si="45">+L85</f>
        <v>56.511962878459158</v>
      </c>
      <c r="N82" s="16">
        <f t="shared" si="45"/>
        <v>37.674641918972767</v>
      </c>
      <c r="O82" s="16">
        <f t="shared" si="45"/>
        <v>18.83732095948638</v>
      </c>
    </row>
    <row r="83" spans="2:15" x14ac:dyDescent="0.25">
      <c r="B83" s="1" t="s">
        <v>52</v>
      </c>
      <c r="C83" s="16"/>
      <c r="D83" s="16"/>
      <c r="E83" s="16"/>
      <c r="F83" s="16"/>
      <c r="G83" s="16"/>
      <c r="H83" s="16"/>
      <c r="I83" s="16"/>
      <c r="J83" s="16"/>
      <c r="K83" s="16">
        <f>+C80</f>
        <v>94.18660479743194</v>
      </c>
      <c r="L83" s="16">
        <v>0</v>
      </c>
      <c r="M83" s="16">
        <v>0</v>
      </c>
      <c r="N83" s="16">
        <v>0</v>
      </c>
      <c r="O83" s="16">
        <v>0</v>
      </c>
    </row>
    <row r="84" spans="2:15" x14ac:dyDescent="0.25">
      <c r="B84" s="1" t="s">
        <v>53</v>
      </c>
      <c r="C84" s="16"/>
      <c r="D84" s="16"/>
      <c r="E84" s="16"/>
      <c r="F84" s="16"/>
      <c r="G84" s="16"/>
      <c r="H84" s="16"/>
      <c r="I84" s="16"/>
      <c r="J84" s="16"/>
      <c r="K84" s="16">
        <f>-$C$80/$C$81</f>
        <v>-18.837320959486387</v>
      </c>
      <c r="L84" s="16">
        <f t="shared" ref="L84:O84" si="46">-$C$80/$C$81</f>
        <v>-18.837320959486387</v>
      </c>
      <c r="M84" s="16">
        <f t="shared" si="46"/>
        <v>-18.837320959486387</v>
      </c>
      <c r="N84" s="16">
        <f t="shared" si="46"/>
        <v>-18.837320959486387</v>
      </c>
      <c r="O84" s="16">
        <f t="shared" si="46"/>
        <v>-18.837320959486387</v>
      </c>
    </row>
    <row r="85" spans="2:15" x14ac:dyDescent="0.25">
      <c r="B85" s="12" t="s">
        <v>56</v>
      </c>
      <c r="C85" s="18"/>
      <c r="D85" s="18"/>
      <c r="E85" s="18"/>
      <c r="F85" s="18"/>
      <c r="G85" s="18"/>
      <c r="H85" s="18"/>
      <c r="I85" s="18"/>
      <c r="J85" s="18"/>
      <c r="K85" s="18">
        <f t="shared" ref="K85:O85" si="47">+K82+K84+K83</f>
        <v>75.349283837945549</v>
      </c>
      <c r="L85" s="18">
        <f t="shared" si="47"/>
        <v>56.511962878459158</v>
      </c>
      <c r="M85" s="18">
        <f t="shared" si="47"/>
        <v>37.674641918972767</v>
      </c>
      <c r="N85" s="18">
        <f t="shared" si="47"/>
        <v>18.83732095948638</v>
      </c>
      <c r="O85" s="18">
        <f t="shared" si="47"/>
        <v>-7.1054273576010019E-15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K49"/>
  <sheetViews>
    <sheetView zoomScaleNormal="100" workbookViewId="0">
      <pane xSplit="3" ySplit="2" topLeftCell="D21" activePane="bottomRight" state="frozen"/>
      <selection pane="topRight" activeCell="D1" sqref="D1"/>
      <selection pane="bottomLeft" activeCell="A3" sqref="A3"/>
      <selection pane="bottomRight" activeCell="H34" sqref="H34"/>
    </sheetView>
  </sheetViews>
  <sheetFormatPr defaultRowHeight="15" x14ac:dyDescent="0.25"/>
  <cols>
    <col min="1" max="1" width="4" style="1" customWidth="1"/>
    <col min="2" max="2" width="20.85546875" style="1" bestFit="1" customWidth="1"/>
    <col min="3" max="16384" width="9.140625" style="1"/>
  </cols>
  <sheetData>
    <row r="2" spans="2:11" x14ac:dyDescent="0.25">
      <c r="B2" s="2" t="s">
        <v>71</v>
      </c>
      <c r="C2" s="3"/>
      <c r="D2" s="3">
        <v>2017</v>
      </c>
      <c r="E2" s="3">
        <f t="shared" ref="E2:K2" si="0">+D2+1</f>
        <v>2018</v>
      </c>
      <c r="F2" s="3">
        <f t="shared" si="0"/>
        <v>2019</v>
      </c>
      <c r="G2" s="4">
        <f t="shared" si="0"/>
        <v>2020</v>
      </c>
      <c r="H2" s="4">
        <f t="shared" si="0"/>
        <v>2021</v>
      </c>
      <c r="I2" s="4">
        <f t="shared" si="0"/>
        <v>2022</v>
      </c>
      <c r="J2" s="4">
        <f t="shared" si="0"/>
        <v>2023</v>
      </c>
      <c r="K2" s="4">
        <f t="shared" si="0"/>
        <v>2024</v>
      </c>
    </row>
    <row r="3" spans="2:11" x14ac:dyDescent="0.25">
      <c r="B3" s="2"/>
      <c r="C3" s="3"/>
      <c r="D3" s="3"/>
      <c r="E3" s="3"/>
      <c r="F3" s="3"/>
      <c r="G3" s="4"/>
      <c r="H3" s="4"/>
      <c r="I3" s="4"/>
      <c r="J3" s="4"/>
      <c r="K3" s="4"/>
    </row>
    <row r="4" spans="2:11" x14ac:dyDescent="0.25">
      <c r="B4" s="2" t="s">
        <v>128</v>
      </c>
      <c r="C4" s="3"/>
      <c r="D4" s="3"/>
      <c r="E4" s="3"/>
      <c r="F4" s="3"/>
      <c r="G4" s="4"/>
      <c r="H4" s="4"/>
      <c r="I4" s="4"/>
      <c r="J4" s="4"/>
      <c r="K4" s="4"/>
    </row>
    <row r="5" spans="2:11" x14ac:dyDescent="0.25">
      <c r="B5" s="1" t="s">
        <v>72</v>
      </c>
      <c r="C5" s="13"/>
      <c r="D5" s="16">
        <f t="shared" ref="D5:G10" si="1">+D18+D31</f>
        <v>0</v>
      </c>
      <c r="E5" s="16">
        <f t="shared" si="1"/>
        <v>74.034323961192939</v>
      </c>
      <c r="F5" s="16">
        <f t="shared" si="1"/>
        <v>57.110707360057447</v>
      </c>
      <c r="G5" s="16">
        <f t="shared" si="1"/>
        <v>39.171673762853828</v>
      </c>
      <c r="H5" s="16">
        <f t="shared" ref="H5:H10" si="2">+H18+H31+H44</f>
        <v>61.286478128258508</v>
      </c>
      <c r="I5" s="16">
        <f t="shared" ref="I5:K5" si="3">+I18+I31+I44</f>
        <v>71.728170755587456</v>
      </c>
      <c r="J5" s="16">
        <f t="shared" si="3"/>
        <v>61.762040979363228</v>
      </c>
      <c r="K5" s="16">
        <f t="shared" si="3"/>
        <v>51.197943416565536</v>
      </c>
    </row>
    <row r="6" spans="2:11" x14ac:dyDescent="0.25">
      <c r="B6" s="1" t="s">
        <v>64</v>
      </c>
      <c r="C6" s="16"/>
      <c r="D6" s="16">
        <f t="shared" si="1"/>
        <v>90</v>
      </c>
      <c r="E6" s="16">
        <f t="shared" si="1"/>
        <v>0</v>
      </c>
      <c r="F6" s="16">
        <f t="shared" si="1"/>
        <v>0</v>
      </c>
      <c r="G6" s="16">
        <f t="shared" si="1"/>
        <v>50</v>
      </c>
      <c r="H6" s="16">
        <f t="shared" si="2"/>
        <v>40</v>
      </c>
      <c r="I6" s="16">
        <f t="shared" ref="I6:K10" si="4">+I19+I32+I45</f>
        <v>0</v>
      </c>
      <c r="J6" s="16">
        <f t="shared" si="4"/>
        <v>0</v>
      </c>
      <c r="K6" s="16">
        <f t="shared" si="4"/>
        <v>0</v>
      </c>
    </row>
    <row r="7" spans="2:11" x14ac:dyDescent="0.25">
      <c r="B7" s="1" t="s">
        <v>73</v>
      </c>
      <c r="C7" s="16"/>
      <c r="D7" s="16">
        <f t="shared" si="1"/>
        <v>-21.365676038807067</v>
      </c>
      <c r="E7" s="16">
        <f t="shared" si="1"/>
        <v>-21.365676038807067</v>
      </c>
      <c r="F7" s="16">
        <f t="shared" si="1"/>
        <v>-21.365676038807067</v>
      </c>
      <c r="G7" s="16">
        <f t="shared" si="1"/>
        <v>-33.23549606036655</v>
      </c>
      <c r="H7" s="16">
        <f t="shared" si="2"/>
        <v>-33.23549606036655</v>
      </c>
      <c r="I7" s="16">
        <f t="shared" si="4"/>
        <v>-11.869820021559482</v>
      </c>
      <c r="J7" s="16">
        <f t="shared" si="4"/>
        <v>-11.869820021559482</v>
      </c>
      <c r="K7" s="16">
        <f t="shared" si="4"/>
        <v>-11.869820021559482</v>
      </c>
    </row>
    <row r="8" spans="2:11" x14ac:dyDescent="0.25">
      <c r="B8" s="15" t="s">
        <v>6</v>
      </c>
      <c r="C8" s="16"/>
      <c r="D8" s="16">
        <f t="shared" si="1"/>
        <v>-5.3999999999999995</v>
      </c>
      <c r="E8" s="16">
        <f t="shared" si="1"/>
        <v>-4.4420594376715759</v>
      </c>
      <c r="F8" s="16">
        <f t="shared" si="1"/>
        <v>-3.4266424416034469</v>
      </c>
      <c r="G8" s="16">
        <f t="shared" si="1"/>
        <v>-5.3503004257712297</v>
      </c>
      <c r="H8" s="16">
        <f t="shared" si="2"/>
        <v>-6.4771886876955111</v>
      </c>
      <c r="I8" s="16">
        <f t="shared" si="4"/>
        <v>-4.703690245335248</v>
      </c>
      <c r="J8" s="16">
        <f t="shared" si="4"/>
        <v>-4.105722458761794</v>
      </c>
      <c r="K8" s="16">
        <f t="shared" si="4"/>
        <v>-3.4718766049939327</v>
      </c>
    </row>
    <row r="9" spans="2:11" x14ac:dyDescent="0.25">
      <c r="B9" s="15" t="s">
        <v>74</v>
      </c>
      <c r="C9" s="16"/>
      <c r="D9" s="16">
        <f t="shared" si="1"/>
        <v>-15.965676038807068</v>
      </c>
      <c r="E9" s="16">
        <f t="shared" si="1"/>
        <v>-16.923616601135492</v>
      </c>
      <c r="F9" s="16">
        <f t="shared" si="1"/>
        <v>-17.939033597203618</v>
      </c>
      <c r="G9" s="16">
        <f t="shared" si="1"/>
        <v>-27.88519563459532</v>
      </c>
      <c r="H9" s="16">
        <f t="shared" si="2"/>
        <v>-29.558307372671038</v>
      </c>
      <c r="I9" s="16">
        <f t="shared" si="4"/>
        <v>-9.9661297762242338</v>
      </c>
      <c r="J9" s="16">
        <f t="shared" si="4"/>
        <v>-10.564097562797688</v>
      </c>
      <c r="K9" s="16">
        <f t="shared" si="4"/>
        <v>-51.19794341656555</v>
      </c>
    </row>
    <row r="10" spans="2:11" x14ac:dyDescent="0.25">
      <c r="B10" s="12" t="s">
        <v>75</v>
      </c>
      <c r="C10" s="18"/>
      <c r="D10" s="18">
        <f t="shared" si="1"/>
        <v>74.034323961192939</v>
      </c>
      <c r="E10" s="18">
        <f t="shared" si="1"/>
        <v>57.110707360057447</v>
      </c>
      <c r="F10" s="18">
        <f t="shared" si="1"/>
        <v>39.171673762853828</v>
      </c>
      <c r="G10" s="18">
        <f t="shared" si="1"/>
        <v>61.286478128258508</v>
      </c>
      <c r="H10" s="18">
        <f t="shared" si="2"/>
        <v>71.728170755587456</v>
      </c>
      <c r="I10" s="18">
        <f t="shared" si="4"/>
        <v>61.762040979363228</v>
      </c>
      <c r="J10" s="18">
        <f t="shared" si="4"/>
        <v>51.197943416565536</v>
      </c>
      <c r="K10" s="18">
        <f t="shared" si="4"/>
        <v>0</v>
      </c>
    </row>
    <row r="11" spans="2:11" x14ac:dyDescent="0.25">
      <c r="B11" s="2"/>
      <c r="C11" s="3"/>
      <c r="D11" s="3"/>
      <c r="E11" s="3"/>
      <c r="F11" s="3"/>
      <c r="G11" s="4"/>
      <c r="H11" s="4"/>
      <c r="I11" s="4"/>
      <c r="J11" s="4"/>
      <c r="K11" s="4"/>
    </row>
    <row r="12" spans="2:11" x14ac:dyDescent="0.25">
      <c r="B12" s="2" t="s">
        <v>127</v>
      </c>
      <c r="C12" s="13"/>
      <c r="D12" s="13"/>
      <c r="E12" s="13"/>
      <c r="F12" s="13"/>
      <c r="G12" s="13"/>
      <c r="H12" s="13"/>
      <c r="I12" s="13"/>
      <c r="J12" s="13"/>
      <c r="K12" s="13"/>
    </row>
    <row r="13" spans="2:11" x14ac:dyDescent="0.25">
      <c r="B13" s="1" t="s">
        <v>76</v>
      </c>
      <c r="C13" s="52">
        <v>90</v>
      </c>
      <c r="D13" s="13"/>
      <c r="E13" s="13"/>
      <c r="F13" s="13"/>
      <c r="G13" s="13"/>
      <c r="H13" s="13"/>
      <c r="I13" s="13"/>
      <c r="J13" s="13"/>
      <c r="K13" s="13"/>
    </row>
    <row r="14" spans="2:11" x14ac:dyDescent="0.25">
      <c r="B14" s="1" t="s">
        <v>77</v>
      </c>
      <c r="C14" s="52">
        <v>5</v>
      </c>
      <c r="D14" s="13"/>
      <c r="E14" s="13"/>
      <c r="F14" s="13"/>
      <c r="G14" s="13"/>
      <c r="H14" s="13"/>
      <c r="I14" s="13"/>
      <c r="J14" s="13"/>
      <c r="K14" s="13"/>
    </row>
    <row r="15" spans="2:11" x14ac:dyDescent="0.25">
      <c r="B15" s="1" t="s">
        <v>78</v>
      </c>
      <c r="C15" s="46">
        <v>0.06</v>
      </c>
      <c r="D15" s="13"/>
      <c r="E15" s="13"/>
      <c r="F15" s="13"/>
      <c r="G15" s="13"/>
      <c r="H15" s="13"/>
      <c r="I15" s="13"/>
      <c r="J15" s="13"/>
      <c r="K15" s="13"/>
    </row>
    <row r="16" spans="2:11" x14ac:dyDescent="0.25">
      <c r="C16" s="7"/>
      <c r="D16" s="13"/>
      <c r="E16" s="13"/>
      <c r="F16" s="13"/>
      <c r="G16" s="13"/>
      <c r="H16" s="13"/>
      <c r="I16" s="13"/>
      <c r="J16" s="13"/>
      <c r="K16" s="13"/>
    </row>
    <row r="17" spans="2:11" x14ac:dyDescent="0.25">
      <c r="B17" s="1" t="s">
        <v>154</v>
      </c>
      <c r="C17" s="7"/>
      <c r="D17" s="13">
        <v>1</v>
      </c>
      <c r="E17" s="13">
        <f>+D17+1</f>
        <v>2</v>
      </c>
      <c r="F17" s="13">
        <f t="shared" ref="F17:H17" si="5">+E17+1</f>
        <v>3</v>
      </c>
      <c r="G17" s="13">
        <f t="shared" si="5"/>
        <v>4</v>
      </c>
      <c r="H17" s="13">
        <f t="shared" si="5"/>
        <v>5</v>
      </c>
      <c r="I17" s="13"/>
      <c r="J17" s="13"/>
      <c r="K17" s="13"/>
    </row>
    <row r="18" spans="2:11" x14ac:dyDescent="0.25">
      <c r="B18" s="1" t="s">
        <v>72</v>
      </c>
      <c r="C18" s="13"/>
      <c r="D18" s="16">
        <v>0</v>
      </c>
      <c r="E18" s="16">
        <f>+D23</f>
        <v>74.034323961192939</v>
      </c>
      <c r="F18" s="16">
        <f>+E23</f>
        <v>57.110707360057447</v>
      </c>
      <c r="G18" s="16">
        <f>+F23</f>
        <v>39.171673762853828</v>
      </c>
      <c r="H18" s="16">
        <f>+G23</f>
        <v>20.156298149817992</v>
      </c>
      <c r="I18" s="16"/>
      <c r="J18" s="16"/>
      <c r="K18" s="16"/>
    </row>
    <row r="19" spans="2:11" x14ac:dyDescent="0.25">
      <c r="B19" s="1" t="s">
        <v>64</v>
      </c>
      <c r="C19" s="16"/>
      <c r="D19" s="16">
        <f>+C13</f>
        <v>90</v>
      </c>
      <c r="E19" s="16">
        <v>0</v>
      </c>
      <c r="F19" s="16">
        <v>0</v>
      </c>
      <c r="G19" s="16">
        <v>0</v>
      </c>
      <c r="H19" s="16">
        <v>0</v>
      </c>
      <c r="I19" s="16"/>
      <c r="J19" s="16"/>
      <c r="K19" s="16"/>
    </row>
    <row r="20" spans="2:11" x14ac:dyDescent="0.25">
      <c r="B20" s="1" t="s">
        <v>73</v>
      </c>
      <c r="C20" s="16"/>
      <c r="D20" s="16">
        <f>-PMT($C$15,$C$14,-$C$13,)</f>
        <v>-21.365676038807067</v>
      </c>
      <c r="E20" s="16">
        <f>-PMT($C$15,$C$14,-$C$13,)</f>
        <v>-21.365676038807067</v>
      </c>
      <c r="F20" s="16">
        <f>-PMT($C$15,$C$14,-$C$13,)</f>
        <v>-21.365676038807067</v>
      </c>
      <c r="G20" s="16">
        <f>-PMT($C$15,$C$14,-$C$13,)</f>
        <v>-21.365676038807067</v>
      </c>
      <c r="H20" s="16">
        <f>-PMT($C$15,$C$14,-$C$13,)</f>
        <v>-21.365676038807067</v>
      </c>
      <c r="I20" s="16"/>
      <c r="J20" s="16"/>
      <c r="K20" s="16"/>
    </row>
    <row r="21" spans="2:11" x14ac:dyDescent="0.25">
      <c r="B21" s="15" t="s">
        <v>6</v>
      </c>
      <c r="C21" s="16"/>
      <c r="D21" s="16">
        <f>-$C$15*C13</f>
        <v>-5.3999999999999995</v>
      </c>
      <c r="E21" s="16">
        <f>-$C$15*D23</f>
        <v>-4.4420594376715759</v>
      </c>
      <c r="F21" s="16">
        <f>-$C$15*E23</f>
        <v>-3.4266424416034469</v>
      </c>
      <c r="G21" s="16">
        <f>-$C$15*F23</f>
        <v>-2.3503004257712297</v>
      </c>
      <c r="H21" s="16">
        <f>-$C$15*G23</f>
        <v>-1.2093778889890794</v>
      </c>
      <c r="I21" s="16"/>
      <c r="J21" s="16"/>
      <c r="K21" s="16"/>
    </row>
    <row r="22" spans="2:11" x14ac:dyDescent="0.25">
      <c r="B22" s="15" t="s">
        <v>74</v>
      </c>
      <c r="C22" s="16"/>
      <c r="D22" s="16">
        <f>+D20-D21</f>
        <v>-15.965676038807068</v>
      </c>
      <c r="E22" s="16">
        <f>+E20-E21</f>
        <v>-16.923616601135492</v>
      </c>
      <c r="F22" s="16">
        <f>+F20-F21</f>
        <v>-17.939033597203618</v>
      </c>
      <c r="G22" s="16">
        <f>+G20-G21</f>
        <v>-19.015375613035836</v>
      </c>
      <c r="H22" s="16">
        <f>+H20-H21</f>
        <v>-20.156298149817989</v>
      </c>
      <c r="I22" s="16"/>
      <c r="J22" s="16"/>
      <c r="K22" s="16"/>
    </row>
    <row r="23" spans="2:11" x14ac:dyDescent="0.25">
      <c r="B23" s="12" t="s">
        <v>75</v>
      </c>
      <c r="C23" s="18"/>
      <c r="D23" s="18">
        <f>+D18+D19+D22</f>
        <v>74.034323961192939</v>
      </c>
      <c r="E23" s="18">
        <f t="shared" ref="E23:H23" si="6">+E18+E19+E22</f>
        <v>57.110707360057447</v>
      </c>
      <c r="F23" s="18">
        <f t="shared" si="6"/>
        <v>39.171673762853828</v>
      </c>
      <c r="G23" s="18">
        <f t="shared" si="6"/>
        <v>20.156298149817992</v>
      </c>
      <c r="H23" s="18">
        <f t="shared" si="6"/>
        <v>0</v>
      </c>
      <c r="I23" s="18"/>
      <c r="J23" s="18"/>
      <c r="K23" s="18"/>
    </row>
    <row r="25" spans="2:11" x14ac:dyDescent="0.25">
      <c r="B25" s="2" t="s">
        <v>164</v>
      </c>
      <c r="C25" s="13"/>
      <c r="D25" s="13"/>
      <c r="E25" s="13"/>
      <c r="F25" s="13"/>
      <c r="G25" s="13"/>
      <c r="H25" s="13"/>
      <c r="I25" s="13"/>
      <c r="J25" s="13"/>
      <c r="K25" s="13"/>
    </row>
    <row r="26" spans="2:11" x14ac:dyDescent="0.25">
      <c r="B26" s="1" t="s">
        <v>76</v>
      </c>
      <c r="C26" s="52">
        <v>50</v>
      </c>
      <c r="D26" s="13"/>
      <c r="E26" s="13"/>
      <c r="F26" s="13"/>
      <c r="G26" s="13"/>
      <c r="H26" s="13"/>
      <c r="I26" s="13"/>
      <c r="J26" s="13"/>
      <c r="K26" s="13"/>
    </row>
    <row r="27" spans="2:11" x14ac:dyDescent="0.25">
      <c r="B27" s="1" t="s">
        <v>77</v>
      </c>
      <c r="C27" s="52">
        <v>5</v>
      </c>
      <c r="D27" s="13"/>
      <c r="E27" s="13"/>
      <c r="F27" s="13"/>
      <c r="G27" s="13"/>
      <c r="H27" s="13"/>
      <c r="I27" s="13"/>
      <c r="J27" s="13"/>
      <c r="K27" s="13"/>
    </row>
    <row r="28" spans="2:11" x14ac:dyDescent="0.25">
      <c r="B28" s="1" t="s">
        <v>78</v>
      </c>
      <c r="C28" s="46">
        <v>0.06</v>
      </c>
      <c r="D28" s="13"/>
      <c r="E28" s="13"/>
      <c r="F28" s="13"/>
      <c r="G28" s="13"/>
      <c r="H28" s="13"/>
      <c r="I28" s="13"/>
      <c r="J28" s="13"/>
      <c r="K28" s="13"/>
    </row>
    <row r="29" spans="2:11" x14ac:dyDescent="0.25">
      <c r="C29" s="7"/>
      <c r="D29" s="13"/>
      <c r="E29" s="13"/>
      <c r="F29" s="13"/>
      <c r="G29" s="13"/>
      <c r="H29" s="13"/>
      <c r="I29" s="13"/>
      <c r="J29" s="13"/>
      <c r="K29" s="13"/>
    </row>
    <row r="30" spans="2:11" x14ac:dyDescent="0.25">
      <c r="B30" s="1" t="s">
        <v>154</v>
      </c>
      <c r="C30" s="7"/>
      <c r="D30" s="13"/>
      <c r="E30" s="13"/>
      <c r="F30" s="13"/>
      <c r="G30" s="13">
        <v>1</v>
      </c>
      <c r="H30" s="13">
        <f>+G30+1</f>
        <v>2</v>
      </c>
      <c r="I30" s="13">
        <f>+H30+1</f>
        <v>3</v>
      </c>
      <c r="J30" s="13">
        <f t="shared" ref="J30:K30" si="7">+I30+1</f>
        <v>4</v>
      </c>
      <c r="K30" s="13">
        <f t="shared" si="7"/>
        <v>5</v>
      </c>
    </row>
    <row r="31" spans="2:11" x14ac:dyDescent="0.25">
      <c r="B31" s="1" t="s">
        <v>72</v>
      </c>
      <c r="C31" s="13"/>
      <c r="D31" s="16"/>
      <c r="E31" s="16"/>
      <c r="F31" s="16"/>
      <c r="G31" s="16">
        <f>+F36</f>
        <v>0</v>
      </c>
      <c r="H31" s="16">
        <f>+G36</f>
        <v>41.130179978440516</v>
      </c>
      <c r="I31" s="16">
        <f t="shared" ref="I31:K31" si="8">+H36</f>
        <v>31.728170755587463</v>
      </c>
      <c r="J31" s="16">
        <f t="shared" si="8"/>
        <v>21.762040979363228</v>
      </c>
      <c r="K31" s="16">
        <f t="shared" si="8"/>
        <v>11.19794341656554</v>
      </c>
    </row>
    <row r="32" spans="2:11" x14ac:dyDescent="0.25">
      <c r="B32" s="1" t="s">
        <v>64</v>
      </c>
      <c r="C32" s="16"/>
      <c r="D32" s="16"/>
      <c r="E32" s="16"/>
      <c r="F32" s="16"/>
      <c r="G32" s="16">
        <f>+C26</f>
        <v>50</v>
      </c>
      <c r="H32" s="16">
        <v>0</v>
      </c>
      <c r="I32" s="16">
        <v>0</v>
      </c>
      <c r="J32" s="16">
        <v>0</v>
      </c>
      <c r="K32" s="16">
        <v>0</v>
      </c>
    </row>
    <row r="33" spans="2:11" x14ac:dyDescent="0.25">
      <c r="B33" s="1" t="s">
        <v>73</v>
      </c>
      <c r="C33" s="16"/>
      <c r="D33" s="16"/>
      <c r="E33" s="16"/>
      <c r="F33" s="16"/>
      <c r="G33" s="16">
        <f>-PMT($C$28,$C$27,-$C$26,)</f>
        <v>-11.869820021559482</v>
      </c>
      <c r="H33" s="16">
        <f>-PMT($C$28,$C$27,-$C$26,)</f>
        <v>-11.869820021559482</v>
      </c>
      <c r="I33" s="16">
        <f>-PMT($C$28,$C$27,-$C$26,)</f>
        <v>-11.869820021559482</v>
      </c>
      <c r="J33" s="16">
        <f>-PMT($C$28,$C$27,-$C$26,)</f>
        <v>-11.869820021559482</v>
      </c>
      <c r="K33" s="16">
        <f>-PMT($C$28,$C$27,-$C$26,)</f>
        <v>-11.869820021559482</v>
      </c>
    </row>
    <row r="34" spans="2:11" x14ac:dyDescent="0.25">
      <c r="B34" s="15" t="s">
        <v>6</v>
      </c>
      <c r="C34" s="16"/>
      <c r="D34" s="16"/>
      <c r="E34" s="16"/>
      <c r="F34" s="16"/>
      <c r="G34" s="16">
        <f>-$C$28*C26</f>
        <v>-3</v>
      </c>
      <c r="H34" s="16">
        <f>-$C$28*G36</f>
        <v>-2.4678107987064308</v>
      </c>
      <c r="I34" s="16">
        <f>-$C$28*H36</f>
        <v>-1.9036902453352478</v>
      </c>
      <c r="J34" s="16">
        <f t="shared" ref="J34:K34" si="9">-$C$28*I36</f>
        <v>-1.3057224587617937</v>
      </c>
      <c r="K34" s="16">
        <f t="shared" si="9"/>
        <v>-0.67187660499393231</v>
      </c>
    </row>
    <row r="35" spans="2:11" x14ac:dyDescent="0.25">
      <c r="B35" s="15" t="s">
        <v>74</v>
      </c>
      <c r="C35" s="16"/>
      <c r="D35" s="16"/>
      <c r="E35" s="16"/>
      <c r="F35" s="16"/>
      <c r="G35" s="16">
        <f>+G33-G34</f>
        <v>-8.869820021559482</v>
      </c>
      <c r="H35" s="16">
        <f>+H33-H34</f>
        <v>-9.4020092228530512</v>
      </c>
      <c r="I35" s="16">
        <f t="shared" ref="I35:K35" si="10">+I33-I34</f>
        <v>-9.9661297762242338</v>
      </c>
      <c r="J35" s="16">
        <f t="shared" si="10"/>
        <v>-10.564097562797688</v>
      </c>
      <c r="K35" s="16">
        <f t="shared" si="10"/>
        <v>-11.19794341656555</v>
      </c>
    </row>
    <row r="36" spans="2:11" x14ac:dyDescent="0.25">
      <c r="B36" s="12" t="s">
        <v>75</v>
      </c>
      <c r="C36" s="18"/>
      <c r="D36" s="18"/>
      <c r="E36" s="18"/>
      <c r="F36" s="18"/>
      <c r="G36" s="18">
        <f t="shared" ref="G36:H36" si="11">+G31+G32+G35</f>
        <v>41.130179978440516</v>
      </c>
      <c r="H36" s="18">
        <f t="shared" si="11"/>
        <v>31.728170755587463</v>
      </c>
      <c r="I36" s="18">
        <f t="shared" ref="I36" si="12">+I31+I32+I35</f>
        <v>21.762040979363228</v>
      </c>
      <c r="J36" s="18">
        <f t="shared" ref="J36" si="13">+J31+J32+J35</f>
        <v>11.19794341656554</v>
      </c>
      <c r="K36" s="18">
        <f t="shared" ref="K36" si="14">+K31+K32+K35</f>
        <v>0</v>
      </c>
    </row>
    <row r="38" spans="2:11" x14ac:dyDescent="0.25">
      <c r="B38" s="2" t="s">
        <v>155</v>
      </c>
      <c r="C38" s="13"/>
      <c r="D38" s="13"/>
      <c r="E38" s="13"/>
      <c r="F38" s="13"/>
      <c r="G38" s="13"/>
      <c r="H38" s="13"/>
      <c r="I38" s="13"/>
      <c r="J38" s="13"/>
      <c r="K38" s="13"/>
    </row>
    <row r="39" spans="2:11" x14ac:dyDescent="0.25">
      <c r="B39" s="1" t="s">
        <v>76</v>
      </c>
      <c r="C39" s="52">
        <v>40</v>
      </c>
      <c r="D39" s="13"/>
      <c r="E39" s="13"/>
      <c r="F39" s="13"/>
      <c r="G39" s="13"/>
      <c r="H39" s="13"/>
      <c r="I39" s="13"/>
      <c r="J39" s="13"/>
      <c r="K39" s="13"/>
    </row>
    <row r="40" spans="2:11" x14ac:dyDescent="0.25">
      <c r="B40" s="1" t="s">
        <v>77</v>
      </c>
      <c r="C40" s="52">
        <v>4</v>
      </c>
      <c r="D40" s="13"/>
      <c r="E40" s="13"/>
      <c r="F40" s="13"/>
      <c r="G40" s="13"/>
      <c r="H40" s="13"/>
      <c r="I40" s="13"/>
      <c r="J40" s="13"/>
      <c r="K40" s="13"/>
    </row>
    <row r="41" spans="2:11" x14ac:dyDescent="0.25">
      <c r="B41" s="1" t="s">
        <v>78</v>
      </c>
      <c r="C41" s="46">
        <v>7.0000000000000007E-2</v>
      </c>
      <c r="D41" s="13"/>
      <c r="E41" s="13"/>
      <c r="F41" s="13"/>
      <c r="G41" s="13"/>
      <c r="H41" s="13"/>
      <c r="I41" s="13"/>
      <c r="J41" s="13"/>
      <c r="K41" s="13"/>
    </row>
    <row r="42" spans="2:11" x14ac:dyDescent="0.25">
      <c r="C42" s="7"/>
      <c r="D42" s="13"/>
      <c r="E42" s="13"/>
      <c r="F42" s="13"/>
      <c r="G42" s="13"/>
      <c r="H42" s="13"/>
      <c r="I42" s="13"/>
      <c r="J42" s="13"/>
      <c r="K42" s="13"/>
    </row>
    <row r="43" spans="2:11" x14ac:dyDescent="0.25">
      <c r="B43" s="1" t="s">
        <v>154</v>
      </c>
      <c r="C43" s="7"/>
      <c r="D43" s="13"/>
      <c r="E43" s="13"/>
      <c r="F43" s="13"/>
      <c r="G43" s="13"/>
      <c r="H43" s="13">
        <v>1</v>
      </c>
      <c r="I43" s="13">
        <f>+H43+1</f>
        <v>2</v>
      </c>
      <c r="J43" s="13">
        <f t="shared" ref="J43:K43" si="15">+I43+1</f>
        <v>3</v>
      </c>
      <c r="K43" s="13">
        <f t="shared" si="15"/>
        <v>4</v>
      </c>
    </row>
    <row r="44" spans="2:11" x14ac:dyDescent="0.25">
      <c r="B44" s="1" t="s">
        <v>72</v>
      </c>
      <c r="C44" s="13"/>
      <c r="D44" s="16"/>
      <c r="E44" s="16"/>
      <c r="F44" s="16"/>
      <c r="G44" s="16"/>
      <c r="H44" s="16">
        <f>+G49</f>
        <v>0</v>
      </c>
      <c r="I44" s="16">
        <f t="shared" ref="I44" si="16">+H49</f>
        <v>40</v>
      </c>
      <c r="J44" s="16">
        <f t="shared" ref="J44" si="17">+I49</f>
        <v>40</v>
      </c>
      <c r="K44" s="16">
        <f t="shared" ref="K44" si="18">+J49</f>
        <v>40</v>
      </c>
    </row>
    <row r="45" spans="2:11" x14ac:dyDescent="0.25">
      <c r="B45" s="1" t="s">
        <v>64</v>
      </c>
      <c r="C45" s="16"/>
      <c r="D45" s="16"/>
      <c r="E45" s="16"/>
      <c r="F45" s="16"/>
      <c r="G45" s="16"/>
      <c r="H45" s="16">
        <f>+C39</f>
        <v>40</v>
      </c>
      <c r="I45" s="16">
        <v>0</v>
      </c>
      <c r="J45" s="16">
        <v>0</v>
      </c>
      <c r="K45" s="16">
        <v>0</v>
      </c>
    </row>
    <row r="46" spans="2:11" x14ac:dyDescent="0.25">
      <c r="B46" s="1" t="s">
        <v>73</v>
      </c>
      <c r="C46" s="16"/>
      <c r="D46" s="16"/>
      <c r="E46" s="16"/>
      <c r="F46" s="16"/>
      <c r="G46" s="16"/>
      <c r="H46" s="80"/>
      <c r="I46" s="80"/>
      <c r="J46" s="80"/>
      <c r="K46" s="80"/>
    </row>
    <row r="47" spans="2:11" x14ac:dyDescent="0.25">
      <c r="B47" s="15" t="s">
        <v>6</v>
      </c>
      <c r="C47" s="16"/>
      <c r="D47" s="16"/>
      <c r="E47" s="16"/>
      <c r="F47" s="16"/>
      <c r="G47" s="16"/>
      <c r="H47" s="16">
        <f>IF($C$40&lt;H43,0,-$C$41*$C$39)</f>
        <v>-2.8000000000000003</v>
      </c>
      <c r="I47" s="16">
        <f t="shared" ref="I47:K47" si="19">IF($C$40&lt;I43,0,-$C$41*$C$39)</f>
        <v>-2.8000000000000003</v>
      </c>
      <c r="J47" s="16">
        <f t="shared" si="19"/>
        <v>-2.8000000000000003</v>
      </c>
      <c r="K47" s="16">
        <f t="shared" si="19"/>
        <v>-2.8000000000000003</v>
      </c>
    </row>
    <row r="48" spans="2:11" x14ac:dyDescent="0.25">
      <c r="B48" s="15" t="s">
        <v>74</v>
      </c>
      <c r="C48" s="16"/>
      <c r="D48" s="16"/>
      <c r="E48" s="16"/>
      <c r="F48" s="16"/>
      <c r="G48" s="16"/>
      <c r="H48" s="16">
        <f>IF($C$40=H43,-$C$39,0)</f>
        <v>0</v>
      </c>
      <c r="I48" s="16">
        <f t="shared" ref="I48:K48" si="20">IF($C$40=I43,-$C$39,0)</f>
        <v>0</v>
      </c>
      <c r="J48" s="16">
        <f t="shared" si="20"/>
        <v>0</v>
      </c>
      <c r="K48" s="16">
        <f t="shared" si="20"/>
        <v>-40</v>
      </c>
    </row>
    <row r="49" spans="2:11" x14ac:dyDescent="0.25">
      <c r="B49" s="12" t="s">
        <v>75</v>
      </c>
      <c r="C49" s="18"/>
      <c r="D49" s="18"/>
      <c r="E49" s="18"/>
      <c r="F49" s="18"/>
      <c r="G49" s="18"/>
      <c r="H49" s="18">
        <f>+H44+H45+H48</f>
        <v>40</v>
      </c>
      <c r="I49" s="18">
        <f>+I44+I45+I48</f>
        <v>40</v>
      </c>
      <c r="J49" s="18">
        <f>+J44+J45+J48</f>
        <v>40</v>
      </c>
      <c r="K49" s="18">
        <f>+K44+K45+K48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U58"/>
  <sheetViews>
    <sheetView tabSelected="1" zoomScaleNormal="100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M11" sqref="M11"/>
    </sheetView>
  </sheetViews>
  <sheetFormatPr defaultRowHeight="15" x14ac:dyDescent="0.25"/>
  <cols>
    <col min="1" max="1" width="5.140625" style="1" customWidth="1"/>
    <col min="2" max="2" width="20.5703125" style="1" bestFit="1" customWidth="1"/>
    <col min="3" max="3" width="9.140625" style="1"/>
    <col min="4" max="4" width="9.140625" style="1" customWidth="1"/>
    <col min="5" max="5" width="9.140625" style="1" hidden="1" customWidth="1"/>
    <col min="6" max="7" width="1.85546875" style="1" customWidth="1"/>
    <col min="8" max="9" width="9.140625" style="1" customWidth="1"/>
    <col min="10" max="16384" width="9.140625" style="1"/>
  </cols>
  <sheetData>
    <row r="2" spans="1:14" s="21" customFormat="1" x14ac:dyDescent="0.25">
      <c r="B2" s="2" t="s">
        <v>154</v>
      </c>
      <c r="C2" s="2"/>
      <c r="D2" s="25"/>
      <c r="E2" s="25"/>
      <c r="F2" s="25"/>
      <c r="G2" s="25"/>
      <c r="H2" s="25"/>
      <c r="I2" s="2">
        <v>1</v>
      </c>
      <c r="J2" s="2">
        <f t="shared" ref="J2:M3" si="0">+I2+1</f>
        <v>2</v>
      </c>
      <c r="K2" s="2">
        <f t="shared" si="0"/>
        <v>3</v>
      </c>
      <c r="L2" s="2">
        <f t="shared" si="0"/>
        <v>4</v>
      </c>
      <c r="M2" s="2">
        <f t="shared" si="0"/>
        <v>5</v>
      </c>
    </row>
    <row r="3" spans="1:14" s="21" customFormat="1" x14ac:dyDescent="0.25">
      <c r="D3" s="16"/>
      <c r="E3" s="16"/>
      <c r="F3" s="16"/>
      <c r="G3" s="16"/>
      <c r="H3" s="16"/>
      <c r="I3" s="4">
        <v>2020</v>
      </c>
      <c r="J3" s="4">
        <f t="shared" si="0"/>
        <v>2021</v>
      </c>
      <c r="K3" s="4">
        <f t="shared" si="0"/>
        <v>2022</v>
      </c>
      <c r="L3" s="4">
        <f t="shared" si="0"/>
        <v>2023</v>
      </c>
      <c r="M3" s="4">
        <f t="shared" si="0"/>
        <v>2024</v>
      </c>
    </row>
    <row r="4" spans="1:14" s="21" customFormat="1" x14ac:dyDescent="0.25">
      <c r="A4" s="73">
        <v>1</v>
      </c>
      <c r="B4" s="73" t="s">
        <v>103</v>
      </c>
      <c r="C4" s="73"/>
      <c r="D4" s="79"/>
      <c r="E4" s="79"/>
      <c r="F4" s="79"/>
      <c r="G4" s="79"/>
      <c r="H4" s="79"/>
      <c r="I4" s="75"/>
      <c r="J4" s="75"/>
      <c r="K4" s="75"/>
      <c r="L4" s="75"/>
      <c r="M4" s="75"/>
    </row>
    <row r="5" spans="1:14" x14ac:dyDescent="0.25">
      <c r="B5" s="1" t="s">
        <v>3</v>
      </c>
      <c r="C5" s="16"/>
      <c r="D5" s="16"/>
      <c r="E5" s="16"/>
      <c r="F5" s="16"/>
      <c r="G5" s="16"/>
      <c r="H5" s="16"/>
      <c r="I5" s="16">
        <f>+FS!G10</f>
        <v>369.46324989723996</v>
      </c>
      <c r="J5" s="16">
        <f>+FS!H10</f>
        <v>438.15034448212532</v>
      </c>
      <c r="K5" s="16">
        <f>+FS!I10</f>
        <v>523.43018265282785</v>
      </c>
      <c r="L5" s="16">
        <f>+FS!J10</f>
        <v>613.04961022139378</v>
      </c>
      <c r="M5" s="16">
        <f>+FS!K10</f>
        <v>711.69355743776623</v>
      </c>
    </row>
    <row r="6" spans="1:14" x14ac:dyDescent="0.25">
      <c r="B6" s="1" t="s">
        <v>101</v>
      </c>
      <c r="I6" s="7">
        <f>+Assumptions!G25</f>
        <v>0.2</v>
      </c>
      <c r="J6" s="7">
        <f>+Assumptions!H25</f>
        <v>0.2</v>
      </c>
      <c r="K6" s="7">
        <f>+Assumptions!I25</f>
        <v>0.2</v>
      </c>
      <c r="L6" s="7">
        <f>+Assumptions!J25</f>
        <v>0.2</v>
      </c>
      <c r="M6" s="7">
        <f>+Assumptions!K25</f>
        <v>0.2</v>
      </c>
    </row>
    <row r="7" spans="1:14" x14ac:dyDescent="0.25">
      <c r="B7" s="6" t="s">
        <v>102</v>
      </c>
      <c r="C7" s="6"/>
      <c r="D7" s="17"/>
      <c r="E7" s="17"/>
      <c r="F7" s="17"/>
      <c r="G7" s="17"/>
      <c r="H7" s="17"/>
      <c r="I7" s="17">
        <f>+I5*(1-I6)</f>
        <v>295.57059991779198</v>
      </c>
      <c r="J7" s="17">
        <f t="shared" ref="J7:M7" si="1">+J5*(1-J6)</f>
        <v>350.52027558570029</v>
      </c>
      <c r="K7" s="17">
        <f t="shared" si="1"/>
        <v>418.74414612226229</v>
      </c>
      <c r="L7" s="17">
        <f t="shared" si="1"/>
        <v>490.43968817711504</v>
      </c>
      <c r="M7" s="17">
        <f t="shared" si="1"/>
        <v>569.35484595021296</v>
      </c>
    </row>
    <row r="8" spans="1:14" x14ac:dyDescent="0.25">
      <c r="B8" s="1" t="s">
        <v>84</v>
      </c>
      <c r="D8" s="16"/>
      <c r="E8" s="16"/>
      <c r="F8" s="16"/>
      <c r="G8" s="16"/>
      <c r="H8" s="16"/>
      <c r="I8" s="16">
        <f>-FS!G9</f>
        <v>46.813313007030786</v>
      </c>
      <c r="J8" s="16">
        <f>-FS!H9</f>
        <v>59.785757949316732</v>
      </c>
      <c r="K8" s="16">
        <f>-FS!I9</f>
        <v>64.539641072142317</v>
      </c>
      <c r="L8" s="16">
        <f>-FS!J9</f>
        <v>74.043829212370838</v>
      </c>
      <c r="M8" s="16">
        <f>-FS!K9</f>
        <v>84.385150171857219</v>
      </c>
    </row>
    <row r="9" spans="1:14" x14ac:dyDescent="0.25">
      <c r="B9" s="1" t="s">
        <v>100</v>
      </c>
      <c r="D9" s="16"/>
      <c r="E9" s="16"/>
      <c r="F9" s="16"/>
      <c r="G9" s="16"/>
      <c r="H9" s="16"/>
      <c r="I9" s="16">
        <f>+Assumptions!G52</f>
        <v>-18.434134461955097</v>
      </c>
      <c r="J9" s="16">
        <f>+Assumptions!H52</f>
        <v>-27.235969911023716</v>
      </c>
      <c r="K9" s="16">
        <f>+Assumptions!I52</f>
        <v>-29.848196538759453</v>
      </c>
      <c r="L9" s="16">
        <f>+Assumptions!J52</f>
        <v>-32.677579332187918</v>
      </c>
      <c r="M9" s="16">
        <f>+Assumptions!K52</f>
        <v>-35.740879660051121</v>
      </c>
    </row>
    <row r="10" spans="1:14" x14ac:dyDescent="0.25">
      <c r="B10" s="1" t="s">
        <v>52</v>
      </c>
      <c r="D10" s="16"/>
      <c r="E10" s="16"/>
      <c r="F10" s="16"/>
      <c r="G10" s="16"/>
      <c r="H10" s="16"/>
      <c r="I10" s="16">
        <f>FS!G68</f>
        <v>-56.734565035153985</v>
      </c>
      <c r="J10" s="16">
        <f>FS!H68</f>
        <v>-64.862224711429747</v>
      </c>
      <c r="K10" s="16">
        <f>FS!I68</f>
        <v>-73.769415614127851</v>
      </c>
      <c r="L10" s="16">
        <f>FS!J68</f>
        <v>-83.520940701142592</v>
      </c>
      <c r="M10" s="16">
        <f>FS!K68</f>
        <v>-94.18660479743194</v>
      </c>
    </row>
    <row r="11" spans="1:14" x14ac:dyDescent="0.25">
      <c r="B11" s="12" t="s">
        <v>99</v>
      </c>
      <c r="C11" s="12"/>
      <c r="D11" s="12"/>
      <c r="E11" s="12"/>
      <c r="F11" s="12"/>
      <c r="G11" s="12"/>
      <c r="H11" s="12"/>
      <c r="I11" s="18">
        <f>+I7+I8+I9+I10</f>
        <v>267.21521342771371</v>
      </c>
      <c r="J11" s="18">
        <f t="shared" ref="J11:M11" si="2">+J7+J8+J9+J10</f>
        <v>318.20783891256355</v>
      </c>
      <c r="K11" s="18">
        <f t="shared" si="2"/>
        <v>379.66617504151731</v>
      </c>
      <c r="L11" s="18">
        <f t="shared" si="2"/>
        <v>448.28499735615532</v>
      </c>
      <c r="M11" s="18">
        <f t="shared" si="2"/>
        <v>523.81251166458696</v>
      </c>
    </row>
    <row r="12" spans="1:14" x14ac:dyDescent="0.25">
      <c r="B12" s="1" t="s">
        <v>117</v>
      </c>
      <c r="M12" s="96">
        <f>+M11*(1+C17)/(M31-C17)</f>
        <v>3447.0242703088938</v>
      </c>
      <c r="N12" s="100"/>
    </row>
    <row r="13" spans="1:14" x14ac:dyDescent="0.25">
      <c r="B13" s="1" t="s">
        <v>119</v>
      </c>
      <c r="I13" s="16">
        <f>+I11+I12</f>
        <v>267.21521342771371</v>
      </c>
      <c r="J13" s="16">
        <f t="shared" ref="J13:M13" si="3">+J11+J12</f>
        <v>318.20783891256355</v>
      </c>
      <c r="K13" s="16">
        <f t="shared" si="3"/>
        <v>379.66617504151731</v>
      </c>
      <c r="L13" s="16">
        <f t="shared" si="3"/>
        <v>448.28499735615532</v>
      </c>
      <c r="M13" s="16">
        <f t="shared" si="3"/>
        <v>3970.8367819734808</v>
      </c>
    </row>
    <row r="14" spans="1:14" x14ac:dyDescent="0.25">
      <c r="B14" s="1" t="s">
        <v>116</v>
      </c>
      <c r="I14" s="43">
        <f>1/(1+I31)^I2</f>
        <v>0.85106382978723405</v>
      </c>
      <c r="J14" s="43">
        <f>1/(1+J31)^J2</f>
        <v>0.72430964237211393</v>
      </c>
      <c r="K14" s="43">
        <f>1/(1+K31)^K2</f>
        <v>0.61643373818903313</v>
      </c>
      <c r="L14" s="43">
        <f>1/(1+L31)^L2</f>
        <v>0.52462445803321966</v>
      </c>
      <c r="M14" s="43">
        <f>1/(1+M31)^M2</f>
        <v>0.44648890045380391</v>
      </c>
    </row>
    <row r="15" spans="1:14" x14ac:dyDescent="0.25">
      <c r="B15" s="6" t="s">
        <v>120</v>
      </c>
      <c r="C15" s="6"/>
      <c r="D15" s="6"/>
      <c r="E15" s="6"/>
      <c r="F15" s="6"/>
      <c r="G15" s="6"/>
      <c r="H15" s="6"/>
      <c r="I15" s="17">
        <f>+I13*I14</f>
        <v>227.41720291720316</v>
      </c>
      <c r="J15" s="17">
        <f t="shared" ref="J15:M15" si="4">+J13*J14</f>
        <v>230.48100600276214</v>
      </c>
      <c r="K15" s="17">
        <f t="shared" si="4"/>
        <v>234.03903954477431</v>
      </c>
      <c r="L15" s="17">
        <f t="shared" si="4"/>
        <v>235.18127378239629</v>
      </c>
      <c r="M15" s="17">
        <f t="shared" si="4"/>
        <v>1772.9345486648606</v>
      </c>
    </row>
    <row r="16" spans="1:14" x14ac:dyDescent="0.25">
      <c r="B16" s="22"/>
      <c r="C16" s="22"/>
      <c r="D16" s="22"/>
      <c r="E16" s="22"/>
      <c r="F16" s="22"/>
      <c r="G16" s="22"/>
      <c r="H16" s="22"/>
      <c r="I16" s="44"/>
      <c r="J16" s="44"/>
      <c r="K16" s="44"/>
      <c r="L16" s="44"/>
      <c r="M16" s="44"/>
    </row>
    <row r="17" spans="1:21" x14ac:dyDescent="0.25">
      <c r="B17" s="2" t="s">
        <v>118</v>
      </c>
      <c r="C17" s="99">
        <f>IF('Sensitivity Analysis'!$C$7="",DCF!D17,'Sensitivity Analysis'!$C$7)</f>
        <v>0.02</v>
      </c>
      <c r="D17" s="46">
        <v>0.02</v>
      </c>
      <c r="E17" s="22"/>
      <c r="F17" s="22"/>
      <c r="G17" s="22"/>
      <c r="H17" s="22"/>
      <c r="I17" s="44"/>
      <c r="J17" s="44"/>
      <c r="K17" s="44"/>
      <c r="L17" s="44"/>
      <c r="M17" s="44"/>
    </row>
    <row r="18" spans="1:21" x14ac:dyDescent="0.25">
      <c r="B18" s="21"/>
      <c r="C18" s="60"/>
      <c r="D18" s="60"/>
      <c r="E18" s="22"/>
      <c r="F18" s="22"/>
      <c r="G18" s="22"/>
      <c r="H18" s="22"/>
      <c r="I18" s="44"/>
      <c r="J18" s="44"/>
      <c r="K18" s="44"/>
      <c r="L18" s="44"/>
      <c r="M18" s="44"/>
    </row>
    <row r="19" spans="1:21" x14ac:dyDescent="0.25">
      <c r="B19" s="2" t="s">
        <v>124</v>
      </c>
      <c r="C19" s="2"/>
      <c r="D19" s="2"/>
      <c r="E19" s="2"/>
      <c r="F19" s="2"/>
      <c r="G19" s="2"/>
      <c r="H19" s="2"/>
      <c r="I19" s="85">
        <f>SUM(I15:M15)</f>
        <v>2700.0530709119967</v>
      </c>
      <c r="J19" s="16"/>
      <c r="K19" s="16"/>
      <c r="L19" s="16"/>
      <c r="M19" s="16"/>
    </row>
    <row r="20" spans="1:21" x14ac:dyDescent="0.25">
      <c r="B20" s="1" t="s">
        <v>121</v>
      </c>
      <c r="I20" s="16">
        <f>+FS!F42</f>
        <v>39.171673762853828</v>
      </c>
    </row>
    <row r="21" spans="1:21" x14ac:dyDescent="0.25">
      <c r="B21" s="1" t="s">
        <v>122</v>
      </c>
      <c r="I21" s="16">
        <f>+FS!F29</f>
        <v>301.70615941771882</v>
      </c>
    </row>
    <row r="22" spans="1:21" x14ac:dyDescent="0.25">
      <c r="B22" s="12" t="s">
        <v>123</v>
      </c>
      <c r="C22" s="12"/>
      <c r="D22" s="12"/>
      <c r="E22" s="12"/>
      <c r="F22" s="12"/>
      <c r="G22" s="12"/>
      <c r="H22" s="12"/>
      <c r="I22" s="18">
        <f>+I19-(I20-I21)</f>
        <v>2962.5875565668616</v>
      </c>
    </row>
    <row r="23" spans="1:21" x14ac:dyDescent="0.25">
      <c r="B23" s="1" t="s">
        <v>125</v>
      </c>
      <c r="I23" s="19">
        <v>300</v>
      </c>
    </row>
    <row r="24" spans="1:21" x14ac:dyDescent="0.25">
      <c r="B24" s="12" t="s">
        <v>126</v>
      </c>
      <c r="C24" s="12"/>
      <c r="D24" s="12"/>
      <c r="E24" s="12"/>
      <c r="F24" s="12"/>
      <c r="G24" s="12"/>
      <c r="H24" s="12"/>
      <c r="I24" s="18">
        <f>+I22/I23</f>
        <v>9.8752918552228728</v>
      </c>
    </row>
    <row r="25" spans="1:21" x14ac:dyDescent="0.25">
      <c r="C25" s="22"/>
      <c r="D25" s="22"/>
      <c r="E25" s="22"/>
      <c r="F25" s="22"/>
      <c r="G25" s="22"/>
      <c r="H25" s="22"/>
      <c r="I25" s="44"/>
      <c r="P25" s="16"/>
      <c r="Q25" s="5"/>
      <c r="R25" s="5"/>
      <c r="S25" s="5"/>
      <c r="T25" s="5"/>
      <c r="U25" s="5"/>
    </row>
    <row r="26" spans="1:21" x14ac:dyDescent="0.25">
      <c r="B26" s="22" t="s">
        <v>152</v>
      </c>
      <c r="I26" s="94">
        <v>11</v>
      </c>
      <c r="P26" s="5"/>
    </row>
    <row r="27" spans="1:21" x14ac:dyDescent="0.25">
      <c r="B27" s="22" t="s">
        <v>153</v>
      </c>
      <c r="I27" s="67">
        <f>+I24/I26-1</f>
        <v>-0.10224619497973886</v>
      </c>
      <c r="P27" s="5"/>
    </row>
    <row r="28" spans="1:21" x14ac:dyDescent="0.25">
      <c r="B28" s="22"/>
      <c r="P28" s="5"/>
    </row>
    <row r="29" spans="1:21" x14ac:dyDescent="0.25">
      <c r="B29" s="22"/>
      <c r="P29" s="5"/>
    </row>
    <row r="30" spans="1:21" x14ac:dyDescent="0.25">
      <c r="A30" s="73">
        <v>2</v>
      </c>
      <c r="B30" s="78" t="s">
        <v>161</v>
      </c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P30" s="5"/>
    </row>
    <row r="31" spans="1:21" x14ac:dyDescent="0.25">
      <c r="A31" s="2">
        <v>2.1</v>
      </c>
      <c r="B31" s="2" t="s">
        <v>110</v>
      </c>
      <c r="C31" s="81">
        <v>1</v>
      </c>
      <c r="D31" s="62" t="s">
        <v>151</v>
      </c>
      <c r="E31" s="2"/>
      <c r="F31" s="2"/>
      <c r="G31" s="2"/>
      <c r="H31" s="2"/>
      <c r="I31" s="42">
        <f>CHOOSE($C$31,I32,I33)</f>
        <v>0.17500000000000002</v>
      </c>
      <c r="J31" s="42">
        <f t="shared" ref="J31:M31" si="5">CHOOSE($C$31,J32,J33)</f>
        <v>0.17500000000000002</v>
      </c>
      <c r="K31" s="42">
        <f t="shared" si="5"/>
        <v>0.17500000000000002</v>
      </c>
      <c r="L31" s="42">
        <f t="shared" si="5"/>
        <v>0.17500000000000002</v>
      </c>
      <c r="M31" s="42">
        <f t="shared" si="5"/>
        <v>0.17500000000000002</v>
      </c>
      <c r="P31" s="5"/>
    </row>
    <row r="32" spans="1:21" s="21" customFormat="1" x14ac:dyDescent="0.25">
      <c r="B32" s="21" t="s">
        <v>150</v>
      </c>
      <c r="C32" s="7">
        <f>IF('Sensitivity Analysis'!$C$6="",DCF!D32,'Sensitivity Analysis'!$C$6)</f>
        <v>0.17500000000000002</v>
      </c>
      <c r="D32" s="63">
        <f>+($C$38*M36)+($C$58*(1-I6)*M35)</f>
        <v>0.17500000000000002</v>
      </c>
      <c r="I32" s="33">
        <f>+C32</f>
        <v>0.17500000000000002</v>
      </c>
      <c r="J32" s="33">
        <f>+I32</f>
        <v>0.17500000000000002</v>
      </c>
      <c r="K32" s="33">
        <f t="shared" ref="K32:M32" si="6">+J32</f>
        <v>0.17500000000000002</v>
      </c>
      <c r="L32" s="33">
        <f t="shared" si="6"/>
        <v>0.17500000000000002</v>
      </c>
      <c r="M32" s="33">
        <f t="shared" si="6"/>
        <v>0.17500000000000002</v>
      </c>
    </row>
    <row r="33" spans="1:13" s="21" customFormat="1" x14ac:dyDescent="0.25">
      <c r="B33" s="21" t="s">
        <v>149</v>
      </c>
      <c r="I33" s="95">
        <f>+(I35*I57*(1-I6))+(I36*$C$38)</f>
        <v>0.1647742846560516</v>
      </c>
      <c r="J33" s="95">
        <f t="shared" ref="J33:M33" si="7">+(J35*J57*(1-J6))+(J36*$C$38)</f>
        <v>0.16533841845652311</v>
      </c>
      <c r="K33" s="95">
        <f t="shared" si="7"/>
        <v>0.16794046448916555</v>
      </c>
      <c r="L33" s="95">
        <f t="shared" si="7"/>
        <v>0.17005452304862428</v>
      </c>
      <c r="M33" s="95">
        <f t="shared" si="7"/>
        <v>0.17500000000000002</v>
      </c>
    </row>
    <row r="34" spans="1:13" x14ac:dyDescent="0.25">
      <c r="B34" s="15" t="s">
        <v>112</v>
      </c>
      <c r="I34" s="41">
        <f>+FS!G53</f>
        <v>8.7568212248675961E-2</v>
      </c>
      <c r="J34" s="41">
        <f>+FS!H53</f>
        <v>8.5593790979983791E-2</v>
      </c>
      <c r="K34" s="41">
        <f>+FS!I53</f>
        <v>6.1516027150040467E-2</v>
      </c>
      <c r="L34" s="41">
        <f>+FS!J53</f>
        <v>4.2705479395185347E-2</v>
      </c>
      <c r="M34" s="41">
        <f>+FS!K53</f>
        <v>0</v>
      </c>
    </row>
    <row r="35" spans="1:13" x14ac:dyDescent="0.25">
      <c r="B35" s="15" t="s">
        <v>115</v>
      </c>
      <c r="I35" s="7">
        <f>+I34/(1+I34)</f>
        <v>8.0517443653137219E-2</v>
      </c>
      <c r="J35" s="7">
        <f t="shared" ref="J35:M35" si="8">+J34/(1+J34)</f>
        <v>7.8845136819285636E-2</v>
      </c>
      <c r="K35" s="7">
        <f t="shared" si="8"/>
        <v>5.7951105378219084E-2</v>
      </c>
      <c r="L35" s="7">
        <f t="shared" si="8"/>
        <v>4.0956416014957926E-2</v>
      </c>
      <c r="M35" s="7">
        <f t="shared" si="8"/>
        <v>0</v>
      </c>
    </row>
    <row r="36" spans="1:13" x14ac:dyDescent="0.25">
      <c r="B36" s="15" t="s">
        <v>111</v>
      </c>
      <c r="I36" s="7">
        <f>1-I35</f>
        <v>0.91948255634686282</v>
      </c>
      <c r="J36" s="7">
        <f t="shared" ref="J36:M36" si="9">1-J35</f>
        <v>0.92115486318071438</v>
      </c>
      <c r="K36" s="7">
        <f t="shared" si="9"/>
        <v>0.94204889462178087</v>
      </c>
      <c r="L36" s="7">
        <f t="shared" si="9"/>
        <v>0.95904358398504208</v>
      </c>
      <c r="M36" s="7">
        <f t="shared" si="9"/>
        <v>1</v>
      </c>
    </row>
    <row r="37" spans="1:13" x14ac:dyDescent="0.25">
      <c r="B37" s="15"/>
      <c r="I37" s="7"/>
      <c r="J37" s="7"/>
      <c r="K37" s="7"/>
      <c r="L37" s="7"/>
      <c r="M37" s="7"/>
    </row>
    <row r="38" spans="1:13" x14ac:dyDescent="0.25">
      <c r="A38" s="2">
        <v>2.2000000000000002</v>
      </c>
      <c r="B38" s="2" t="s">
        <v>109</v>
      </c>
      <c r="C38" s="67">
        <f>+C40+(C39*C42)</f>
        <v>0.17500000000000002</v>
      </c>
      <c r="D38" s="16"/>
    </row>
    <row r="39" spans="1:13" x14ac:dyDescent="0.25">
      <c r="B39" s="48" t="s">
        <v>108</v>
      </c>
      <c r="C39" s="49">
        <f>+C41-C40</f>
        <v>0.11</v>
      </c>
      <c r="D39" s="16"/>
    </row>
    <row r="40" spans="1:13" x14ac:dyDescent="0.25">
      <c r="B40" s="50" t="s">
        <v>105</v>
      </c>
      <c r="C40" s="46">
        <v>0.01</v>
      </c>
      <c r="D40" s="16"/>
    </row>
    <row r="41" spans="1:13" x14ac:dyDescent="0.25">
      <c r="B41" s="50" t="s">
        <v>104</v>
      </c>
      <c r="C41" s="46">
        <v>0.12</v>
      </c>
      <c r="D41" s="16"/>
    </row>
    <row r="42" spans="1:13" x14ac:dyDescent="0.25">
      <c r="B42" s="50" t="s">
        <v>107</v>
      </c>
      <c r="C42" s="47">
        <v>1.5</v>
      </c>
      <c r="D42" s="16"/>
    </row>
    <row r="43" spans="1:13" x14ac:dyDescent="0.25">
      <c r="B43" s="50"/>
      <c r="C43" s="61"/>
      <c r="D43" s="16"/>
    </row>
    <row r="44" spans="1:13" x14ac:dyDescent="0.25">
      <c r="A44" s="2">
        <v>2.2999999999999998</v>
      </c>
      <c r="B44" s="2" t="s">
        <v>106</v>
      </c>
      <c r="D44" s="16"/>
    </row>
    <row r="45" spans="1:13" x14ac:dyDescent="0.25">
      <c r="A45" s="2"/>
      <c r="B45" s="21" t="s">
        <v>166</v>
      </c>
      <c r="C45" s="76"/>
      <c r="D45" s="16"/>
      <c r="H45" s="16">
        <f>SUM(H46:H48)</f>
        <v>0</v>
      </c>
      <c r="I45" s="16">
        <f t="shared" ref="I45:M45" si="10">SUM(I46:I48)</f>
        <v>61.286478128258508</v>
      </c>
      <c r="J45" s="16">
        <f t="shared" si="10"/>
        <v>71.728170755587456</v>
      </c>
      <c r="K45" s="16">
        <f t="shared" si="10"/>
        <v>61.762040979363228</v>
      </c>
      <c r="L45" s="16">
        <f t="shared" si="10"/>
        <v>51.197943416565536</v>
      </c>
      <c r="M45" s="16">
        <f t="shared" si="10"/>
        <v>0</v>
      </c>
    </row>
    <row r="46" spans="1:13" x14ac:dyDescent="0.25">
      <c r="B46" s="15" t="s">
        <v>162</v>
      </c>
      <c r="H46" s="83"/>
      <c r="I46" s="83">
        <f>+'Debt Schedule'!G23</f>
        <v>20.156298149817992</v>
      </c>
      <c r="J46" s="83">
        <f>+'Debt Schedule'!H23</f>
        <v>0</v>
      </c>
      <c r="K46" s="83">
        <f>+'Debt Schedule'!I23</f>
        <v>0</v>
      </c>
      <c r="L46" s="83">
        <f>+'Debt Schedule'!J23</f>
        <v>0</v>
      </c>
      <c r="M46" s="83">
        <f>+'Debt Schedule'!K23</f>
        <v>0</v>
      </c>
    </row>
    <row r="47" spans="1:13" x14ac:dyDescent="0.25">
      <c r="B47" s="15" t="s">
        <v>165</v>
      </c>
      <c r="H47" s="83"/>
      <c r="I47" s="83">
        <f>+'Debt Schedule'!G36</f>
        <v>41.130179978440516</v>
      </c>
      <c r="J47" s="83">
        <f>+'Debt Schedule'!H36</f>
        <v>31.728170755587463</v>
      </c>
      <c r="K47" s="83">
        <f>+'Debt Schedule'!I36</f>
        <v>21.762040979363228</v>
      </c>
      <c r="L47" s="83">
        <f>+'Debt Schedule'!J36</f>
        <v>11.19794341656554</v>
      </c>
      <c r="M47" s="83">
        <f>+'Debt Schedule'!K36</f>
        <v>0</v>
      </c>
    </row>
    <row r="48" spans="1:13" x14ac:dyDescent="0.25">
      <c r="B48" s="15" t="s">
        <v>163</v>
      </c>
      <c r="H48" s="83"/>
      <c r="I48" s="83">
        <f>+'Debt Schedule'!G49</f>
        <v>0</v>
      </c>
      <c r="J48" s="83">
        <f>+'Debt Schedule'!H49</f>
        <v>40</v>
      </c>
      <c r="K48" s="83">
        <f>+'Debt Schedule'!I49</f>
        <v>40</v>
      </c>
      <c r="L48" s="83">
        <f>+'Debt Schedule'!J49</f>
        <v>40</v>
      </c>
      <c r="M48" s="83">
        <f>+'Debt Schedule'!K49</f>
        <v>0</v>
      </c>
    </row>
    <row r="49" spans="2:13" x14ac:dyDescent="0.25">
      <c r="B49" s="21" t="s">
        <v>171</v>
      </c>
      <c r="H49" s="16"/>
      <c r="I49" s="16"/>
      <c r="J49" s="16"/>
      <c r="K49" s="16"/>
      <c r="L49" s="16"/>
      <c r="M49" s="16"/>
    </row>
    <row r="50" spans="2:13" x14ac:dyDescent="0.25">
      <c r="B50" s="15" t="s">
        <v>172</v>
      </c>
      <c r="H50" s="8" t="str">
        <f>IFERROR(H46/H$45,"N/A")</f>
        <v>N/A</v>
      </c>
      <c r="I50" s="8">
        <f t="shared" ref="I50:M50" si="11">IFERROR(I46/I$45,"N/A")</f>
        <v>0.32888654668058254</v>
      </c>
      <c r="J50" s="8">
        <f t="shared" si="11"/>
        <v>0</v>
      </c>
      <c r="K50" s="8">
        <f t="shared" si="11"/>
        <v>0</v>
      </c>
      <c r="L50" s="8">
        <f t="shared" si="11"/>
        <v>0</v>
      </c>
      <c r="M50" s="8" t="str">
        <f t="shared" si="11"/>
        <v>N/A</v>
      </c>
    </row>
    <row r="51" spans="2:13" x14ac:dyDescent="0.25">
      <c r="B51" s="15" t="s">
        <v>173</v>
      </c>
      <c r="H51" s="8" t="str">
        <f t="shared" ref="H51:M51" si="12">IFERROR(H47/H$45,"N/A")</f>
        <v>N/A</v>
      </c>
      <c r="I51" s="8">
        <f t="shared" si="12"/>
        <v>0.67111345331941752</v>
      </c>
      <c r="J51" s="8">
        <f t="shared" si="12"/>
        <v>0.4423390478435687</v>
      </c>
      <c r="K51" s="8">
        <f t="shared" si="12"/>
        <v>0.35235300897252825</v>
      </c>
      <c r="L51" s="8">
        <f t="shared" si="12"/>
        <v>0.21871861776663373</v>
      </c>
      <c r="M51" s="8" t="str">
        <f t="shared" si="12"/>
        <v>N/A</v>
      </c>
    </row>
    <row r="52" spans="2:13" x14ac:dyDescent="0.25">
      <c r="B52" s="15" t="s">
        <v>174</v>
      </c>
      <c r="H52" s="8" t="str">
        <f t="shared" ref="H52:M52" si="13">IFERROR(H48/H$45,"N/A")</f>
        <v>N/A</v>
      </c>
      <c r="I52" s="8">
        <f t="shared" si="13"/>
        <v>0</v>
      </c>
      <c r="J52" s="8">
        <f t="shared" si="13"/>
        <v>0.55766095215643141</v>
      </c>
      <c r="K52" s="8">
        <f t="shared" si="13"/>
        <v>0.64764699102747181</v>
      </c>
      <c r="L52" s="8">
        <f t="shared" si="13"/>
        <v>0.78128138223336629</v>
      </c>
      <c r="M52" s="8" t="str">
        <f t="shared" si="13"/>
        <v>N/A</v>
      </c>
    </row>
    <row r="53" spans="2:13" x14ac:dyDescent="0.25">
      <c r="B53" s="1" t="s">
        <v>167</v>
      </c>
    </row>
    <row r="54" spans="2:13" x14ac:dyDescent="0.25">
      <c r="B54" s="15" t="s">
        <v>168</v>
      </c>
      <c r="H54" s="84"/>
      <c r="I54" s="84">
        <f>+'Debt Schedule'!C15</f>
        <v>0.06</v>
      </c>
      <c r="J54" s="84">
        <f>+I54</f>
        <v>0.06</v>
      </c>
      <c r="K54" s="84">
        <f t="shared" ref="K54:M54" si="14">+J54</f>
        <v>0.06</v>
      </c>
      <c r="L54" s="84">
        <f t="shared" si="14"/>
        <v>0.06</v>
      </c>
      <c r="M54" s="84">
        <f t="shared" si="14"/>
        <v>0.06</v>
      </c>
    </row>
    <row r="55" spans="2:13" x14ac:dyDescent="0.25">
      <c r="B55" s="15" t="s">
        <v>169</v>
      </c>
      <c r="H55" s="84"/>
      <c r="I55" s="84">
        <f>+'Debt Schedule'!C28</f>
        <v>0.06</v>
      </c>
      <c r="J55" s="84">
        <f t="shared" ref="J55:M56" si="15">+I55</f>
        <v>0.06</v>
      </c>
      <c r="K55" s="84">
        <f t="shared" si="15"/>
        <v>0.06</v>
      </c>
      <c r="L55" s="84">
        <f t="shared" si="15"/>
        <v>0.06</v>
      </c>
      <c r="M55" s="84">
        <f t="shared" si="15"/>
        <v>0.06</v>
      </c>
    </row>
    <row r="56" spans="2:13" x14ac:dyDescent="0.25">
      <c r="B56" s="15" t="s">
        <v>170</v>
      </c>
      <c r="H56" s="84"/>
      <c r="I56" s="84">
        <f>+'Debt Schedule'!C41</f>
        <v>7.0000000000000007E-2</v>
      </c>
      <c r="J56" s="84">
        <f t="shared" si="15"/>
        <v>7.0000000000000007E-2</v>
      </c>
      <c r="K56" s="84">
        <f t="shared" si="15"/>
        <v>7.0000000000000007E-2</v>
      </c>
      <c r="L56" s="84">
        <f t="shared" si="15"/>
        <v>7.0000000000000007E-2</v>
      </c>
      <c r="M56" s="84">
        <f t="shared" si="15"/>
        <v>7.0000000000000007E-2</v>
      </c>
    </row>
    <row r="57" spans="2:13" x14ac:dyDescent="0.25">
      <c r="B57" s="2" t="s">
        <v>175</v>
      </c>
      <c r="C57" s="2"/>
      <c r="D57" s="2"/>
      <c r="E57" s="2"/>
      <c r="F57" s="2"/>
      <c r="G57" s="2"/>
      <c r="H57" s="42">
        <f t="shared" ref="H57:M57" si="16">SUMPRODUCT(H50:H52,H54:H56)</f>
        <v>0</v>
      </c>
      <c r="I57" s="42">
        <f t="shared" si="16"/>
        <v>0.06</v>
      </c>
      <c r="J57" s="42">
        <f t="shared" si="16"/>
        <v>6.5576609521564327E-2</v>
      </c>
      <c r="K57" s="42">
        <f t="shared" si="16"/>
        <v>6.6476469910274727E-2</v>
      </c>
      <c r="L57" s="42">
        <f t="shared" si="16"/>
        <v>6.7812813822333673E-2</v>
      </c>
      <c r="M57" s="42">
        <f t="shared" si="16"/>
        <v>0</v>
      </c>
    </row>
    <row r="58" spans="2:13" x14ac:dyDescent="0.25">
      <c r="B58" s="2" t="s">
        <v>176</v>
      </c>
      <c r="C58" s="82">
        <v>0.06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M34"/>
  <sheetViews>
    <sheetView workbookViewId="0">
      <selection activeCell="J34" sqref="J24:J34"/>
    </sheetView>
  </sheetViews>
  <sheetFormatPr defaultRowHeight="15" x14ac:dyDescent="0.25"/>
  <cols>
    <col min="1" max="1" width="9.140625" style="1"/>
    <col min="2" max="2" width="28.140625" style="1" bestFit="1" customWidth="1"/>
    <col min="3" max="5" width="9.140625" style="1"/>
    <col min="6" max="6" width="6.5703125" style="1" customWidth="1"/>
    <col min="7" max="16384" width="9.140625" style="1"/>
  </cols>
  <sheetData>
    <row r="2" spans="2:13" x14ac:dyDescent="0.25">
      <c r="B2" s="2" t="s">
        <v>178</v>
      </c>
    </row>
    <row r="3" spans="2:13" x14ac:dyDescent="0.25">
      <c r="B3" s="2" t="s">
        <v>179</v>
      </c>
    </row>
    <row r="4" spans="2:13" x14ac:dyDescent="0.25">
      <c r="B4" s="2" t="s">
        <v>177</v>
      </c>
    </row>
    <row r="6" spans="2:13" x14ac:dyDescent="0.25">
      <c r="B6" s="1" t="s">
        <v>147</v>
      </c>
      <c r="C6" s="59"/>
      <c r="G6" s="101" t="s">
        <v>110</v>
      </c>
      <c r="H6" s="101"/>
      <c r="I6" s="101"/>
      <c r="J6" s="101"/>
      <c r="K6" s="101"/>
      <c r="L6" s="101"/>
      <c r="M6" s="101"/>
    </row>
    <row r="7" spans="2:13" x14ac:dyDescent="0.25">
      <c r="B7" s="1" t="s">
        <v>148</v>
      </c>
      <c r="C7" s="59"/>
      <c r="F7" s="11">
        <f>+DCF!I24</f>
        <v>9.8752918552228728</v>
      </c>
      <c r="G7" s="64">
        <v>0.1</v>
      </c>
      <c r="H7" s="64">
        <f>+G7+0.01</f>
        <v>0.11</v>
      </c>
      <c r="I7" s="64">
        <f t="shared" ref="I7" si="0">+H7+0.01</f>
        <v>0.12</v>
      </c>
      <c r="J7" s="65">
        <f>+DCF!D32</f>
        <v>0.17500000000000002</v>
      </c>
      <c r="K7" s="64">
        <f>+I7+0.01</f>
        <v>0.13</v>
      </c>
      <c r="L7" s="64">
        <f>+K7+0.01</f>
        <v>0.14000000000000001</v>
      </c>
      <c r="M7" s="64">
        <f>+L7+0.01</f>
        <v>0.15000000000000002</v>
      </c>
    </row>
    <row r="8" spans="2:13" x14ac:dyDescent="0.25">
      <c r="E8" s="102" t="s">
        <v>118</v>
      </c>
      <c r="F8" s="66">
        <v>0</v>
      </c>
      <c r="G8" s="11">
        <f t="dataTable" ref="G8:M18" dt2D="1" dtr="1" r1="C6" r2="C7" ca="1"/>
        <v>11.342663605557018</v>
      </c>
      <c r="H8" s="11">
        <v>10.290906155129157</v>
      </c>
      <c r="I8" s="11">
        <v>9.4177248629235226</v>
      </c>
      <c r="J8" s="11">
        <v>6.4348982293185308</v>
      </c>
      <c r="K8" s="11">
        <v>8.6817702507674746</v>
      </c>
      <c r="L8" s="11">
        <v>8.0535141701636945</v>
      </c>
      <c r="M8" s="11">
        <v>7.511308926722001</v>
      </c>
    </row>
    <row r="9" spans="2:13" x14ac:dyDescent="0.25">
      <c r="E9" s="102"/>
      <c r="F9" s="66">
        <f>+F8+0.005</f>
        <v>5.0000000000000001E-3</v>
      </c>
      <c r="G9" s="11">
        <v>11.7680997591618</v>
      </c>
      <c r="H9" s="11">
        <v>10.628391439005048</v>
      </c>
      <c r="I9" s="11">
        <v>9.6902317999902419</v>
      </c>
      <c r="J9" s="11">
        <v>6.5392477126200053</v>
      </c>
      <c r="K9" s="11">
        <v>8.9051077249416188</v>
      </c>
      <c r="L9" s="11">
        <v>8.238887618979378</v>
      </c>
      <c r="M9" s="11">
        <v>7.6668618283658603</v>
      </c>
    </row>
    <row r="10" spans="2:13" x14ac:dyDescent="0.25">
      <c r="E10" s="102"/>
      <c r="F10" s="66">
        <f t="shared" ref="F10:F18" si="1">+F9+0.005</f>
        <v>0.01</v>
      </c>
      <c r="G10" s="11">
        <v>12.240806596500443</v>
      </c>
      <c r="H10" s="11">
        <v>10.999625251268531</v>
      </c>
      <c r="I10" s="11">
        <v>9.9875120949721161</v>
      </c>
      <c r="J10" s="11">
        <v>6.649921407030658</v>
      </c>
      <c r="K10" s="11">
        <v>9.147056655296943</v>
      </c>
      <c r="L10" s="11">
        <v>8.4385205638578107</v>
      </c>
      <c r="M10" s="11">
        <v>7.8335256515557106</v>
      </c>
    </row>
    <row r="11" spans="2:13" x14ac:dyDescent="0.25">
      <c r="E11" s="102"/>
      <c r="F11" s="66">
        <f t="shared" si="1"/>
        <v>1.4999999999999999E-2</v>
      </c>
      <c r="G11" s="11">
        <v>12.76912600293775</v>
      </c>
      <c r="H11" s="11">
        <v>11.409936306928168</v>
      </c>
      <c r="I11" s="11">
        <v>10.313104798999882</v>
      </c>
      <c r="J11" s="11">
        <v>6.7675122073419756</v>
      </c>
      <c r="K11" s="11">
        <v>9.4100446230744659</v>
      </c>
      <c r="L11" s="11">
        <v>8.6541241443265147</v>
      </c>
      <c r="M11" s="11">
        <v>8.0125349431299924</v>
      </c>
    </row>
    <row r="12" spans="2:13" x14ac:dyDescent="0.25">
      <c r="E12" s="102"/>
      <c r="F12" s="66">
        <f t="shared" si="1"/>
        <v>0.02</v>
      </c>
      <c r="G12" s="11">
        <v>13.363485335179725</v>
      </c>
      <c r="H12" s="11">
        <v>11.865837479883321</v>
      </c>
      <c r="I12" s="11">
        <v>10.671256773430427</v>
      </c>
      <c r="J12" s="11">
        <v>6.8926895108991859</v>
      </c>
      <c r="K12" s="11">
        <v>9.6969405879226738</v>
      </c>
      <c r="L12" s="11">
        <v>8.8876946898342801</v>
      </c>
      <c r="M12" s="11">
        <v>8.2053141802099869</v>
      </c>
    </row>
    <row r="13" spans="2:13" x14ac:dyDescent="0.25">
      <c r="E13" s="102"/>
      <c r="F13" s="66">
        <f t="shared" si="1"/>
        <v>2.5000000000000001E-2</v>
      </c>
      <c r="G13" s="11">
        <v>14.037092578387291</v>
      </c>
      <c r="H13" s="11">
        <v>12.375374084950845</v>
      </c>
      <c r="I13" s="11">
        <v>11.067108955695765</v>
      </c>
      <c r="J13" s="11">
        <v>7.0262119680268764</v>
      </c>
      <c r="K13" s="11">
        <v>10.011159977994522</v>
      </c>
      <c r="L13" s="11">
        <v>9.1415757175601087</v>
      </c>
      <c r="M13" s="11">
        <v>8.4135157562563858</v>
      </c>
    </row>
    <row r="14" spans="2:13" x14ac:dyDescent="0.25">
      <c r="E14" s="102"/>
      <c r="F14" s="66">
        <f t="shared" si="1"/>
        <v>3.0000000000000002E-2</v>
      </c>
      <c r="G14" s="11">
        <v>14.806929427767372</v>
      </c>
      <c r="H14" s="11">
        <v>12.948602765651808</v>
      </c>
      <c r="I14" s="11">
        <v>11.506944713768366</v>
      </c>
      <c r="J14" s="11">
        <v>7.1689428704737184</v>
      </c>
      <c r="K14" s="11">
        <v>10.356801307073555</v>
      </c>
      <c r="L14" s="11">
        <v>9.4185368387155624</v>
      </c>
      <c r="M14" s="11">
        <v>8.6390674636399805</v>
      </c>
    </row>
    <row r="15" spans="2:13" x14ac:dyDescent="0.25">
      <c r="E15" s="102"/>
      <c r="F15" s="66">
        <f t="shared" si="1"/>
        <v>3.5000000000000003E-2</v>
      </c>
      <c r="G15" s="11">
        <v>15.695202715513618</v>
      </c>
      <c r="H15" s="11">
        <v>13.598261937112898</v>
      </c>
      <c r="I15" s="11">
        <v>11.998525855143621</v>
      </c>
      <c r="J15" s="11">
        <v>7.3218688373810501</v>
      </c>
      <c r="K15" s="11">
        <v>10.738825933950377</v>
      </c>
      <c r="L15" s="11">
        <v>9.7218752095048657</v>
      </c>
      <c r="M15" s="11">
        <v>8.8842323629699766</v>
      </c>
    </row>
    <row r="16" spans="2:13" x14ac:dyDescent="0.25">
      <c r="E16" s="102"/>
      <c r="F16" s="66">
        <f t="shared" si="1"/>
        <v>0.04</v>
      </c>
      <c r="G16" s="11">
        <v>16.731521551217568</v>
      </c>
      <c r="H16" s="11">
        <v>14.340729561639865</v>
      </c>
      <c r="I16" s="11">
        <v>12.551554639190785</v>
      </c>
      <c r="J16" s="11">
        <v>7.4861226536889234</v>
      </c>
      <c r="K16" s="11">
        <v>11.163297741591293</v>
      </c>
      <c r="L16" s="11">
        <v>10.055547417373099</v>
      </c>
      <c r="M16" s="11">
        <v>9.1516849804208817</v>
      </c>
    </row>
    <row r="17" spans="5:13" x14ac:dyDescent="0.25">
      <c r="E17" s="102"/>
      <c r="F17" s="66">
        <f t="shared" si="1"/>
        <v>4.4999999999999998E-2</v>
      </c>
      <c r="G17" s="11">
        <v>17.956261993413147</v>
      </c>
      <c r="H17" s="11">
        <v>15.197422974555588</v>
      </c>
      <c r="I17" s="11">
        <v>13.178320594444239</v>
      </c>
      <c r="J17" s="11">
        <v>7.6630113789435566</v>
      </c>
      <c r="K17" s="11">
        <v>11.63770740895467</v>
      </c>
      <c r="L17" s="11">
        <v>10.424343015543252</v>
      </c>
      <c r="M17" s="11">
        <v>9.4446092757242521</v>
      </c>
    </row>
    <row r="18" spans="5:13" x14ac:dyDescent="0.25">
      <c r="E18" s="102"/>
      <c r="F18" s="66">
        <f t="shared" si="1"/>
        <v>4.9999999999999996E-2</v>
      </c>
      <c r="G18" s="11">
        <v>19.425950524047838</v>
      </c>
      <c r="H18" s="11">
        <v>16.196898622957271</v>
      </c>
      <c r="I18" s="11">
        <v>13.894624543305326</v>
      </c>
      <c r="J18" s="11">
        <v>7.8540512022185593</v>
      </c>
      <c r="K18" s="11">
        <v>12.17141828473847</v>
      </c>
      <c r="L18" s="11">
        <v>10.834115902398979</v>
      </c>
      <c r="M18" s="11">
        <v>9.7668260005579626</v>
      </c>
    </row>
    <row r="22" spans="5:13" x14ac:dyDescent="0.25">
      <c r="G22" s="101" t="s">
        <v>110</v>
      </c>
      <c r="H22" s="101"/>
      <c r="I22" s="101"/>
      <c r="J22" s="101"/>
      <c r="K22" s="101"/>
      <c r="L22" s="101"/>
      <c r="M22" s="101"/>
    </row>
    <row r="23" spans="5:13" x14ac:dyDescent="0.25">
      <c r="F23" s="7">
        <f>+DCF!I27</f>
        <v>-0.10224619497973886</v>
      </c>
      <c r="G23" s="64">
        <v>0.1</v>
      </c>
      <c r="H23" s="64">
        <f>+G23+0.01</f>
        <v>0.11</v>
      </c>
      <c r="I23" s="64">
        <f t="shared" ref="I23" si="2">+H23+0.01</f>
        <v>0.12</v>
      </c>
      <c r="J23" s="65">
        <f>+J7</f>
        <v>0.17500000000000002</v>
      </c>
      <c r="K23" s="64">
        <f>+I23+0.01</f>
        <v>0.13</v>
      </c>
      <c r="L23" s="64">
        <f>+K23+0.01</f>
        <v>0.14000000000000001</v>
      </c>
      <c r="M23" s="64">
        <f>+L23+0.01</f>
        <v>0.15000000000000002</v>
      </c>
    </row>
    <row r="24" spans="5:13" x14ac:dyDescent="0.25">
      <c r="E24" s="102" t="s">
        <v>118</v>
      </c>
      <c r="F24" s="66">
        <v>0</v>
      </c>
      <c r="G24" s="7">
        <f t="dataTable" ref="G24:M34" dt2D="1" dtr="1" r1="C6" r2="C7" ca="1"/>
        <v>3.115123686881982E-2</v>
      </c>
      <c r="H24" s="7">
        <v>-6.4463076806440256E-2</v>
      </c>
      <c r="I24" s="7">
        <v>-0.14384319427967973</v>
      </c>
      <c r="J24" s="7">
        <v>-0.4150092518801336</v>
      </c>
      <c r="K24" s="7">
        <v>-0.21074815902113864</v>
      </c>
      <c r="L24" s="7">
        <v>-0.26786234816693688</v>
      </c>
      <c r="M24" s="7">
        <v>-0.31715373393436352</v>
      </c>
    </row>
    <row r="25" spans="5:13" x14ac:dyDescent="0.25">
      <c r="E25" s="102"/>
      <c r="F25" s="66">
        <f>+F24+0.005</f>
        <v>5.0000000000000001E-3</v>
      </c>
      <c r="G25" s="7">
        <v>6.9827250832890764E-2</v>
      </c>
      <c r="H25" s="7">
        <v>-3.3782596454086544E-2</v>
      </c>
      <c r="I25" s="7">
        <v>-0.11906983636452351</v>
      </c>
      <c r="J25" s="7">
        <v>-0.40552293521636318</v>
      </c>
      <c r="K25" s="7">
        <v>-0.1904447522780347</v>
      </c>
      <c r="L25" s="7">
        <v>-0.25101021645642019</v>
      </c>
      <c r="M25" s="7">
        <v>-0.30301256105764907</v>
      </c>
    </row>
    <row r="26" spans="5:13" x14ac:dyDescent="0.25">
      <c r="E26" s="102"/>
      <c r="F26" s="66">
        <f t="shared" ref="F26:F34" si="3">+F25+0.005</f>
        <v>0.01</v>
      </c>
      <c r="G26" s="7">
        <v>0.1128005996818584</v>
      </c>
      <c r="H26" s="7">
        <v>-3.4068066497194849E-5</v>
      </c>
      <c r="I26" s="7">
        <v>-9.2044355002534939E-2</v>
      </c>
      <c r="J26" s="7">
        <v>-0.39546169026994016</v>
      </c>
      <c r="K26" s="7">
        <v>-0.16844939497300515</v>
      </c>
      <c r="L26" s="7">
        <v>-0.23286176692201721</v>
      </c>
      <c r="M26" s="7">
        <v>-0.28786130440402635</v>
      </c>
    </row>
    <row r="27" spans="5:13" x14ac:dyDescent="0.25">
      <c r="E27" s="102"/>
      <c r="F27" s="66">
        <f t="shared" si="3"/>
        <v>1.4999999999999999E-2</v>
      </c>
      <c r="G27" s="7">
        <v>0.16082963663070449</v>
      </c>
      <c r="H27" s="7">
        <v>3.7266936993469946E-2</v>
      </c>
      <c r="I27" s="7">
        <v>-6.2445018272737962E-2</v>
      </c>
      <c r="J27" s="7">
        <v>-0.38477161751436584</v>
      </c>
      <c r="K27" s="7">
        <v>-0.14454139790232123</v>
      </c>
      <c r="L27" s="7">
        <v>-0.21326144142486225</v>
      </c>
      <c r="M27" s="7">
        <v>-0.27158773244272794</v>
      </c>
    </row>
    <row r="28" spans="5:13" x14ac:dyDescent="0.25">
      <c r="E28" s="102"/>
      <c r="F28" s="66">
        <f t="shared" si="3"/>
        <v>0.02</v>
      </c>
      <c r="G28" s="7">
        <v>0.21486230319815669</v>
      </c>
      <c r="H28" s="7">
        <v>7.8712498171211065E-2</v>
      </c>
      <c r="I28" s="7">
        <v>-2.9885747869961232E-2</v>
      </c>
      <c r="J28" s="7">
        <v>-0.37339186264552859</v>
      </c>
      <c r="K28" s="7">
        <v>-0.11845994655248415</v>
      </c>
      <c r="L28" s="7">
        <v>-0.19202775546961093</v>
      </c>
      <c r="M28" s="7">
        <v>-0.25406234725363752</v>
      </c>
    </row>
    <row r="29" spans="5:13" x14ac:dyDescent="0.25">
      <c r="E29" s="102"/>
      <c r="F29" s="66">
        <f t="shared" si="3"/>
        <v>2.5000000000000001E-2</v>
      </c>
      <c r="G29" s="7">
        <v>0.27609932530793557</v>
      </c>
      <c r="H29" s="7">
        <v>0.12503400772280404</v>
      </c>
      <c r="I29" s="7">
        <v>6.1008141541605276E-3</v>
      </c>
      <c r="J29" s="7">
        <v>-0.36125345745210213</v>
      </c>
      <c r="K29" s="7">
        <v>-8.9894547455043439E-2</v>
      </c>
      <c r="L29" s="7">
        <v>-0.16894766203999012</v>
      </c>
      <c r="M29" s="7">
        <v>-0.23513493124941942</v>
      </c>
    </row>
    <row r="30" spans="5:13" x14ac:dyDescent="0.25">
      <c r="E30" s="102"/>
      <c r="F30" s="66">
        <f t="shared" si="3"/>
        <v>3.0000000000000002E-2</v>
      </c>
      <c r="G30" s="7">
        <v>0.34608449343339753</v>
      </c>
      <c r="H30" s="7">
        <v>0.17714570596834611</v>
      </c>
      <c r="I30" s="7">
        <v>4.6085883069851397E-2</v>
      </c>
      <c r="J30" s="7">
        <v>-0.3482779208660256</v>
      </c>
      <c r="K30" s="7">
        <v>-5.8472608447858621E-2</v>
      </c>
      <c r="L30" s="7">
        <v>-0.14376937829858527</v>
      </c>
      <c r="M30" s="7">
        <v>-0.21463023057818365</v>
      </c>
    </row>
    <row r="31" spans="5:13" x14ac:dyDescent="0.25">
      <c r="E31" s="102"/>
      <c r="F31" s="66">
        <f t="shared" si="3"/>
        <v>3.5000000000000003E-2</v>
      </c>
      <c r="G31" s="7">
        <v>0.426836610501238</v>
      </c>
      <c r="H31" s="7">
        <v>0.23620563064662714</v>
      </c>
      <c r="I31" s="7">
        <v>9.0775077740329113E-2</v>
      </c>
      <c r="J31" s="7">
        <v>-0.33437556023808634</v>
      </c>
      <c r="K31" s="7">
        <v>-2.3743096913602102E-2</v>
      </c>
      <c r="L31" s="7">
        <v>-0.11619316277228497</v>
      </c>
      <c r="M31" s="7">
        <v>-0.19234251245727485</v>
      </c>
    </row>
    <row r="32" spans="5:13" x14ac:dyDescent="0.25">
      <c r="E32" s="102"/>
      <c r="F32" s="66">
        <f t="shared" si="3"/>
        <v>0.04</v>
      </c>
      <c r="G32" s="7">
        <v>0.52104741374705177</v>
      </c>
      <c r="H32" s="7">
        <v>0.30370268742180584</v>
      </c>
      <c r="I32" s="7">
        <v>0.14105042174461691</v>
      </c>
      <c r="J32" s="7">
        <v>-0.31944339511918873</v>
      </c>
      <c r="K32" s="7">
        <v>1.4845249235572178E-2</v>
      </c>
      <c r="L32" s="7">
        <v>-8.5859325693354638E-2</v>
      </c>
      <c r="M32" s="7">
        <v>-0.16802863814355617</v>
      </c>
    </row>
    <row r="33" spans="5:13" x14ac:dyDescent="0.25">
      <c r="E33" s="102"/>
      <c r="F33" s="66">
        <f t="shared" si="3"/>
        <v>4.4999999999999998E-2</v>
      </c>
      <c r="G33" s="7">
        <v>0.63238745394664964</v>
      </c>
      <c r="H33" s="7">
        <v>0.38158390677778065</v>
      </c>
      <c r="I33" s="7">
        <v>0.19802914494947621</v>
      </c>
      <c r="J33" s="7">
        <v>-0.30336260191422215</v>
      </c>
      <c r="K33" s="7">
        <v>5.7973400814060883E-2</v>
      </c>
      <c r="L33" s="7">
        <v>-5.2332453132431622E-2</v>
      </c>
      <c r="M33" s="7">
        <v>-0.14139915675234072</v>
      </c>
    </row>
    <row r="34" spans="5:13" x14ac:dyDescent="0.25">
      <c r="E34" s="102"/>
      <c r="F34" s="66">
        <f t="shared" si="3"/>
        <v>4.9999999999999996E-2</v>
      </c>
      <c r="G34" s="7">
        <v>0.76599550218616708</v>
      </c>
      <c r="H34" s="7">
        <v>0.47244532935975192</v>
      </c>
      <c r="I34" s="7">
        <v>0.26314768575502967</v>
      </c>
      <c r="J34" s="7">
        <v>-0.28599534525285819</v>
      </c>
      <c r="K34" s="7">
        <v>0.10649257133986101</v>
      </c>
      <c r="L34" s="7">
        <v>-1.5080372509183704E-2</v>
      </c>
      <c r="M34" s="7">
        <v>-0.11210672722200343</v>
      </c>
    </row>
  </sheetData>
  <mergeCells count="4">
    <mergeCell ref="G6:M6"/>
    <mergeCell ref="E8:E18"/>
    <mergeCell ref="E24:E34"/>
    <mergeCell ref="G22:M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Step</vt:lpstr>
      <vt:lpstr>Assumptions</vt:lpstr>
      <vt:lpstr>FS</vt:lpstr>
      <vt:lpstr>PPE</vt:lpstr>
      <vt:lpstr>Debt Schedule</vt:lpstr>
      <vt:lpstr>DCF</vt:lpstr>
      <vt:lpstr>Sensitivity Analysis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 Thana-ek</dc:creator>
  <cp:lastModifiedBy>Good Thana-ek</cp:lastModifiedBy>
  <cp:lastPrinted>2020-02-28T16:53:45Z</cp:lastPrinted>
  <dcterms:created xsi:type="dcterms:W3CDTF">2020-02-10T14:26:03Z</dcterms:created>
  <dcterms:modified xsi:type="dcterms:W3CDTF">2020-05-21T03:54:01Z</dcterms:modified>
</cp:coreProperties>
</file>