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055" windowHeight="7935"/>
  </bookViews>
  <sheets>
    <sheet name="NIM,Cost" sheetId="1" r:id="rId1"/>
    <sheet name="CPL" sheetId="3" r:id="rId2"/>
    <sheet name="CAR" sheetId="4" r:id="rId3"/>
    <sheet name="Sheet1" sheetId="5" r:id="rId4"/>
  </sheets>
  <calcPr calcId="145621"/>
</workbook>
</file>

<file path=xl/calcChain.xml><?xml version="1.0" encoding="utf-8"?>
<calcChain xmlns="http://schemas.openxmlformats.org/spreadsheetml/2006/main">
  <c r="J58" i="1" l="1"/>
  <c r="J56" i="1"/>
  <c r="J55" i="1"/>
  <c r="J54" i="1"/>
  <c r="J51" i="1"/>
  <c r="J50" i="1"/>
  <c r="J49" i="1"/>
  <c r="J40" i="1"/>
  <c r="J39" i="1"/>
  <c r="J38" i="1"/>
  <c r="J37" i="1"/>
  <c r="J36" i="1"/>
  <c r="J35" i="1"/>
  <c r="J34" i="1"/>
  <c r="J33" i="1"/>
  <c r="J32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3" i="1"/>
  <c r="J12" i="1"/>
  <c r="J11" i="1"/>
  <c r="J10" i="1"/>
  <c r="J9" i="1"/>
  <c r="J8" i="1"/>
  <c r="E13" i="5"/>
  <c r="E12" i="5"/>
  <c r="E11" i="5"/>
  <c r="E10" i="5"/>
  <c r="E9" i="5"/>
  <c r="E8" i="5"/>
  <c r="E7" i="5"/>
  <c r="E6" i="5"/>
  <c r="E5" i="5"/>
  <c r="E4" i="5"/>
  <c r="E3" i="5"/>
  <c r="E14" i="5"/>
  <c r="D14" i="5"/>
  <c r="D13" i="5"/>
  <c r="D12" i="5"/>
  <c r="D11" i="5"/>
  <c r="D10" i="5"/>
  <c r="D9" i="5"/>
  <c r="D8" i="5"/>
  <c r="D7" i="5"/>
  <c r="D6" i="5"/>
  <c r="D5" i="5"/>
  <c r="D4" i="5"/>
  <c r="D3" i="5"/>
  <c r="C3" i="5"/>
  <c r="C4" i="5" s="1"/>
  <c r="C5" i="5" s="1"/>
  <c r="C6" i="5" s="1"/>
  <c r="C7" i="5" s="1"/>
  <c r="C8" i="5" s="1"/>
  <c r="C9" i="5" s="1"/>
  <c r="C10" i="5" s="1"/>
  <c r="C11" i="5" s="1"/>
  <c r="C12" i="5" s="1"/>
  <c r="C13" i="5" s="1"/>
  <c r="C14" i="5" s="1"/>
  <c r="M6" i="1"/>
  <c r="M26" i="4"/>
  <c r="M33" i="4"/>
  <c r="N43" i="1"/>
  <c r="N39" i="1"/>
  <c r="M47" i="1"/>
  <c r="M46" i="1"/>
  <c r="M39" i="1"/>
  <c r="M43" i="1"/>
  <c r="N20" i="3"/>
  <c r="N21" i="3"/>
  <c r="N16" i="3"/>
  <c r="N14" i="3"/>
  <c r="N11" i="3"/>
  <c r="N6" i="3"/>
  <c r="N4" i="3" s="1"/>
  <c r="M9" i="1"/>
  <c r="I57" i="1"/>
  <c r="I59" i="1" s="1"/>
  <c r="I41" i="1"/>
  <c r="H57" i="1"/>
  <c r="H59" i="1" s="1"/>
  <c r="J59" i="1" s="1"/>
  <c r="H41" i="1"/>
  <c r="J41" i="1" s="1"/>
  <c r="M27" i="1"/>
  <c r="M24" i="1"/>
  <c r="I111" i="1"/>
  <c r="I109" i="1"/>
  <c r="I104" i="1"/>
  <c r="I98" i="1"/>
  <c r="H98" i="1"/>
  <c r="I88" i="1"/>
  <c r="H88" i="1"/>
  <c r="M34" i="1" s="1"/>
  <c r="I74" i="1"/>
  <c r="H74" i="1"/>
  <c r="I71" i="1"/>
  <c r="H71" i="1"/>
  <c r="J57" i="1" l="1"/>
  <c r="M30" i="1"/>
  <c r="M33" i="1" s="1"/>
  <c r="M35" i="1"/>
  <c r="I60" i="1"/>
  <c r="M21" i="1"/>
  <c r="M12" i="1"/>
  <c r="M15" i="1"/>
  <c r="M18" i="1" s="1"/>
  <c r="H60" i="1"/>
  <c r="J60" i="1" s="1"/>
  <c r="I81" i="1"/>
  <c r="I90" i="1" s="1"/>
  <c r="I92" i="1" s="1"/>
  <c r="I99" i="1" s="1"/>
  <c r="H81" i="1"/>
  <c r="H90" i="1" s="1"/>
  <c r="H92" i="1" s="1"/>
  <c r="H99" i="1" s="1"/>
  <c r="H107" i="1" s="1"/>
  <c r="H109" i="1" s="1"/>
  <c r="H102" i="1" l="1"/>
  <c r="H104" i="1" s="1"/>
  <c r="H111" i="1" l="1"/>
</calcChain>
</file>

<file path=xl/sharedStrings.xml><?xml version="1.0" encoding="utf-8"?>
<sst xmlns="http://schemas.openxmlformats.org/spreadsheetml/2006/main" count="165" uniqueCount="142">
  <si>
    <t xml:space="preserve"> BANGKOK  BANK  PUBLIC  COMPANY  LIMITED  AND  SUBSIDIARIES</t>
  </si>
  <si>
    <t xml:space="preserve">STATEMENTS OF FINANCIAL POSITION </t>
  </si>
  <si>
    <t>AS  AT  DECEMBER  31,  2011  AND  2010</t>
  </si>
  <si>
    <t>Baht : '000</t>
  </si>
  <si>
    <t>CONSOLIDATED</t>
  </si>
  <si>
    <t>Notes</t>
  </si>
  <si>
    <t>ASSETS</t>
  </si>
  <si>
    <t>CASH</t>
  </si>
  <si>
    <t>INTERBANK  AND  MONEY  MARKET  ITEMS,  NET</t>
  </si>
  <si>
    <t>CLAIMS  ON  SECURITY</t>
  </si>
  <si>
    <t>DERIVATIVES  ASSETS</t>
  </si>
  <si>
    <t xml:space="preserve">INVESTMENTS,  NET </t>
  </si>
  <si>
    <t xml:space="preserve">INVESTMENTS IN SUBSIDIARIES AND ASSOCIATES, NET </t>
  </si>
  <si>
    <t xml:space="preserve">LOANS  TO  CUSTOMERS  AND  ACCRUED </t>
  </si>
  <si>
    <t xml:space="preserve"> INTEREST  RECEIVABLES,  NET</t>
  </si>
  <si>
    <t>Loans to customers</t>
  </si>
  <si>
    <t>Accrued interest receivables</t>
  </si>
  <si>
    <t>Total loans and accrued interest receivables</t>
  </si>
  <si>
    <t>Less Deferred revenue</t>
  </si>
  <si>
    <t xml:space="preserve">Less Allowance for doubtful accounts </t>
  </si>
  <si>
    <t>Less Revaluation allowance for debt restructuring</t>
  </si>
  <si>
    <t>Total loans and accrued interest receivables, net</t>
  </si>
  <si>
    <t>CUSTOMER'S  LIABILITIES  UNDER  ACCEPTANCES</t>
  </si>
  <si>
    <t>PROPERTIES  FOR  SALE,  NET</t>
  </si>
  <si>
    <t>PREMISES  AND  EQUIPMENT,  NET</t>
  </si>
  <si>
    <t>OTHER  INTANGIBLE  ASSETS,  NET</t>
  </si>
  <si>
    <t>OTHER  ASSETS,  NET</t>
  </si>
  <si>
    <t>TOTAL  ASSETS</t>
  </si>
  <si>
    <t>Notes to the financial statements form an integral part of these financial statements</t>
  </si>
  <si>
    <t xml:space="preserve">                       President</t>
  </si>
  <si>
    <t>Baht: 000</t>
  </si>
  <si>
    <t>Bt mn</t>
  </si>
  <si>
    <t>What is BBL's NIM for 2011</t>
  </si>
  <si>
    <t>STATEMENTS  OF  COMPREHENSIVE  INCOME</t>
  </si>
  <si>
    <t>FOR  THE  YEARS  ENDED  DECEMBER  31,  2011  AND  2010</t>
  </si>
  <si>
    <t>INTEREST  INCOME</t>
  </si>
  <si>
    <t>INTEREST  EXPENSES</t>
  </si>
  <si>
    <t>NET  INTEREST  INCOME</t>
  </si>
  <si>
    <t>FEES  AND  SERVICE  INCOME</t>
  </si>
  <si>
    <t>FEES  AND  SERVICE  EXPENSES</t>
  </si>
  <si>
    <t>NET  FEES  AND  SERVICE  INCOME</t>
  </si>
  <si>
    <t>GAINS ON TRADINGS AND FOREIGN EXCHANGE TRANSACTIONS</t>
  </si>
  <si>
    <t>GAINS  ON  INVESTMENTS</t>
  </si>
  <si>
    <t>SHARE OF PROFIT FROM INVESTMENT USING EQUITY METHOD</t>
  </si>
  <si>
    <t>GAINS  ON  DISPOSAL  OF  ASSETS</t>
  </si>
  <si>
    <t>DIVIDEND  INCOME</t>
  </si>
  <si>
    <t>OTHER  OPERATING  INCOME</t>
  </si>
  <si>
    <t>TOTAL  OPERATING  INCOME</t>
  </si>
  <si>
    <t>OTHER  OPERATING  EXPENSES</t>
  </si>
  <si>
    <t>Employee's expenses</t>
  </si>
  <si>
    <t>Directors’ remuneration</t>
  </si>
  <si>
    <t>Premises and equipment expenses</t>
  </si>
  <si>
    <t>Taxes and duties</t>
  </si>
  <si>
    <t>Others</t>
  </si>
  <si>
    <t>TOTAL OTHER OPERATING EXPENSES</t>
  </si>
  <si>
    <t>IMPAIRMENT  LOSS  OF  LOANS  AND  DEBT  SECURITIES</t>
  </si>
  <si>
    <t>PROFIT  FROM  OPERATING  BEFORE  INCOME  TAX  EXPENSES</t>
  </si>
  <si>
    <t>INCOME  TAX  EXPENSES</t>
  </si>
  <si>
    <t>NET  PROFIT</t>
  </si>
  <si>
    <t>OTHER  COMPREHENSIVE  INCOME (LOSSES)</t>
  </si>
  <si>
    <t>Changes in revaluation surplus</t>
  </si>
  <si>
    <t>Gains (losses) on remeasuring available-for-sale investment</t>
  </si>
  <si>
    <t>Gains (losses) arising from translating the financial statements of foreign operations</t>
  </si>
  <si>
    <t>Actuarial gains (loesses) on defined benefit plans</t>
  </si>
  <si>
    <t>TOTAL OTHER COMPREHENSIVE INCOME (LOSSES)</t>
  </si>
  <si>
    <t>TOTAL  COMPREHENSIVE  INCOME</t>
  </si>
  <si>
    <t xml:space="preserve">NET  PROFIT  ATTRIBUTABLE </t>
  </si>
  <si>
    <t>Owners of the Bank</t>
  </si>
  <si>
    <t>Non-controlling interest</t>
  </si>
  <si>
    <t xml:space="preserve">TOTAL  COMPREHENSIVE  INCOME  ATTRIBUTABLE </t>
  </si>
  <si>
    <t>BASIC  EARNINGS  PER  SHARE  (BAHT)</t>
  </si>
  <si>
    <t xml:space="preserve">WEIGHTED  AVERAGE  NUMBER  </t>
  </si>
  <si>
    <t>OF  ORDINARY  SHARES  (THOUSAND  SHARES)</t>
  </si>
  <si>
    <t xml:space="preserve">                                                                       (Mr. Chartsiri  Sophonpanich)</t>
  </si>
  <si>
    <t xml:space="preserve">                                                              President</t>
  </si>
  <si>
    <t>What is BBL's provision expense</t>
  </si>
  <si>
    <t>What is BBL's credit cost/loans</t>
  </si>
  <si>
    <t>or 88bps</t>
  </si>
  <si>
    <t xml:space="preserve"> </t>
  </si>
  <si>
    <t>LIABILITIES  AND  SHAREHOLDERS’ EQUITY</t>
  </si>
  <si>
    <t xml:space="preserve">DEPOSITS </t>
  </si>
  <si>
    <t>LIABILITY  PAYABLE  ON  DEMAND</t>
  </si>
  <si>
    <t>LIABILITY  TO  DELIVER  SECURITY</t>
  </si>
  <si>
    <t>DERIVATIVES  LIABILITIES</t>
  </si>
  <si>
    <t xml:space="preserve">DEBT  ISSUED  AND  BORROWINGS </t>
  </si>
  <si>
    <t>BANK'S  LIABILITY  UNDER  ACCEPTANCES</t>
  </si>
  <si>
    <t xml:space="preserve">PROVISIONS </t>
  </si>
  <si>
    <t>OTHER  LIABILITIES</t>
  </si>
  <si>
    <t>TOTAL  LIABILITIES</t>
  </si>
  <si>
    <t>SHAREHOLDERS’  EQUITY</t>
  </si>
  <si>
    <t>SHARE  CAPITAL</t>
  </si>
  <si>
    <t>Authorized share capital</t>
  </si>
  <si>
    <t>1,655,000 preferred shares of Baht 10 each</t>
  </si>
  <si>
    <t>3,998,345,000 common shares of Baht 10 each</t>
  </si>
  <si>
    <t>Issued and paid-up share capital</t>
  </si>
  <si>
    <t>1,908,842,894 common shares of Baht 10 each</t>
  </si>
  <si>
    <t>PREMIUM  ON  COMMON  SHARE</t>
  </si>
  <si>
    <t>OTHER  RESERVES</t>
  </si>
  <si>
    <t>RETAINED  EARNINGS</t>
  </si>
  <si>
    <t>Appropriated</t>
  </si>
  <si>
    <t xml:space="preserve">Legal reserve </t>
  </si>
  <si>
    <t xml:space="preserve">Others </t>
  </si>
  <si>
    <t>Unappropriated</t>
  </si>
  <si>
    <t>TOTAL BANK'S EQUITY</t>
  </si>
  <si>
    <t>NON-CONTROLLING  INTEREST</t>
  </si>
  <si>
    <t>TOTAL  SHAREHOLDERS’  EQUITY</t>
  </si>
  <si>
    <t>TOTAL  LIABILITIES  AND  SHAREHOLDERS’  EQUITY</t>
  </si>
  <si>
    <t>6.23 , 6.24</t>
  </si>
  <si>
    <t>What is BBL's average cost of fund in 2011?</t>
  </si>
  <si>
    <t>What is BBL's average yield on earnings assets in 2011?</t>
  </si>
  <si>
    <t>What is BBL's average interest spread in 2011?</t>
  </si>
  <si>
    <t>Bath:'000</t>
  </si>
  <si>
    <t>What is BBL's total revenue in 2011?</t>
  </si>
  <si>
    <t>What is BBL's cost to income ratio in 2011?</t>
  </si>
  <si>
    <t>Total revenue</t>
  </si>
  <si>
    <t>Non-interest expenses</t>
  </si>
  <si>
    <t>Cost / Income</t>
  </si>
  <si>
    <t xml:space="preserve">Collateral/NPL ratio </t>
  </si>
  <si>
    <t xml:space="preserve">NPL ratio = </t>
  </si>
  <si>
    <t>LLR/NPL ratio =</t>
  </si>
  <si>
    <t>LLR/Total loans ratio =</t>
  </si>
  <si>
    <t>Total LLR/BoT's minimum LLR requirement =</t>
  </si>
  <si>
    <t>Total loans</t>
  </si>
  <si>
    <t xml:space="preserve">NPL </t>
  </si>
  <si>
    <t>LLR</t>
  </si>
  <si>
    <t>Total LLR</t>
  </si>
  <si>
    <t>BoT's</t>
  </si>
  <si>
    <t>Amount net collateral</t>
  </si>
  <si>
    <t>What is BBL's loans to deposits ratio in 2011?</t>
  </si>
  <si>
    <t>What is BBL's loans to deposits and borrowings ratio in 2011?</t>
  </si>
  <si>
    <t>Bt mn 2011</t>
  </si>
  <si>
    <t>Bt mn 2010</t>
  </si>
  <si>
    <t>What is BBL's net excess liquidity at end-11 and end-10?</t>
  </si>
  <si>
    <t>Total capital</t>
  </si>
  <si>
    <t>Total capital/Risk weighted assets =</t>
  </si>
  <si>
    <t>RWA =</t>
  </si>
  <si>
    <t>= 231,525/.1535</t>
  </si>
  <si>
    <t>Tier 1 capital</t>
  </si>
  <si>
    <t>Tier 1 capital/Risk weighted assets =</t>
  </si>
  <si>
    <t>= 184,171/.1221</t>
  </si>
  <si>
    <t>What is the amount of BBL's total earnings assets at end-2011?</t>
  </si>
  <si>
    <t>What is the amount of BBL's total interest-bearing liabilities at end-2011?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</si>
</sst>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87" formatCode="_-* #,##0_-;\-* #,##0_-;_-* &quot;-&quot;??_-;_-@_-"/>
    <numFmt numFmtId="188" formatCode="_(* #,##0_);_(* \(#,##0\);_(* &quot;-&quot;??_);_(@_)"/>
    <numFmt numFmtId="189" formatCode="#,##0;\(#,##0\)"/>
    <numFmt numFmtId="190" formatCode="\ #,##0\ ;\(#,##0\);"/>
    <numFmt numFmtId="191" formatCode="0.0"/>
    <numFmt numFmtId="192" formatCode="0.0%"/>
  </numFmts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3"/>
      <name val="Angsana New"/>
      <family val="1"/>
    </font>
    <font>
      <sz val="13"/>
      <name val="Angsana New"/>
      <family val="1"/>
      <charset val="222"/>
    </font>
    <font>
      <b/>
      <sz val="13"/>
      <name val="Angsana New"/>
      <family val="1"/>
      <charset val="222"/>
    </font>
    <font>
      <sz val="14"/>
      <name val="Cordia New"/>
      <family val="2"/>
    </font>
    <font>
      <sz val="13"/>
      <name val="Angsana New"/>
      <family val="1"/>
    </font>
    <font>
      <u/>
      <sz val="13"/>
      <name val="Angsana New"/>
      <family val="1"/>
      <charset val="222"/>
    </font>
    <font>
      <sz val="14"/>
      <name val="Angsana New"/>
      <family val="1"/>
      <charset val="222"/>
    </font>
    <font>
      <sz val="13"/>
      <color indexed="8"/>
      <name val="Angsana New"/>
      <family val="1"/>
    </font>
    <font>
      <sz val="16"/>
      <name val="Angsana New"/>
      <family val="1"/>
      <charset val="222"/>
    </font>
    <font>
      <sz val="16"/>
      <name val="Cordia New"/>
      <family val="2"/>
    </font>
    <font>
      <b/>
      <sz val="11"/>
      <color theme="1"/>
      <name val="Tahoma"/>
      <family val="2"/>
      <scheme val="minor"/>
    </font>
    <font>
      <b/>
      <sz val="16"/>
      <name val="Angsana New"/>
      <family val="1"/>
    </font>
    <font>
      <sz val="11"/>
      <color rgb="FFFF0000"/>
      <name val="Tahoma"/>
      <family val="2"/>
      <charset val="222"/>
      <scheme val="minor"/>
    </font>
    <font>
      <sz val="13"/>
      <color rgb="FFFF0000"/>
      <name val="Angsana New"/>
      <family val="1"/>
      <charset val="222"/>
    </font>
    <font>
      <sz val="14"/>
      <color rgb="FFFF0000"/>
      <name val="Cordia New"/>
      <family val="2"/>
    </font>
    <font>
      <b/>
      <sz val="16"/>
      <name val="Angsana New"/>
      <family val="1"/>
      <charset val="222"/>
    </font>
    <font>
      <b/>
      <sz val="16"/>
      <name val="Cordia New"/>
      <family val="2"/>
    </font>
    <font>
      <sz val="16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26">
    <xf numFmtId="0" fontId="0" fillId="0" borderId="0" xfId="0"/>
    <xf numFmtId="0" fontId="3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87" fontId="6" fillId="0" borderId="0" xfId="3" applyNumberFormat="1" applyFont="1" applyFill="1" applyAlignment="1">
      <alignment vertical="center"/>
    </xf>
    <xf numFmtId="37" fontId="6" fillId="0" borderId="0" xfId="0" applyNumberFormat="1" applyFont="1" applyFill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188" fontId="6" fillId="0" borderId="0" xfId="0" applyNumberFormat="1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188" fontId="6" fillId="0" borderId="1" xfId="0" applyNumberFormat="1" applyFont="1" applyFill="1" applyBorder="1" applyAlignment="1">
      <alignment vertical="center"/>
    </xf>
    <xf numFmtId="187" fontId="6" fillId="0" borderId="1" xfId="3" applyNumberFormat="1" applyFont="1" applyFill="1" applyBorder="1" applyAlignment="1">
      <alignment vertical="center"/>
    </xf>
    <xf numFmtId="2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187" fontId="6" fillId="0" borderId="3" xfId="3" applyNumberFormat="1" applyFont="1" applyFill="1" applyBorder="1" applyAlignment="1">
      <alignment vertical="center"/>
    </xf>
    <xf numFmtId="187" fontId="6" fillId="0" borderId="0" xfId="3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87" fontId="6" fillId="2" borderId="0" xfId="3" applyNumberFormat="1" applyFont="1" applyFill="1" applyAlignment="1">
      <alignment vertical="center"/>
    </xf>
    <xf numFmtId="187" fontId="6" fillId="2" borderId="2" xfId="3" applyNumberFormat="1" applyFont="1" applyFill="1" applyBorder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187" fontId="6" fillId="0" borderId="0" xfId="4" applyNumberFormat="1" applyFont="1" applyFill="1" applyAlignment="1">
      <alignment vertical="center"/>
    </xf>
    <xf numFmtId="187" fontId="6" fillId="0" borderId="4" xfId="4" applyNumberFormat="1" applyFont="1" applyFill="1" applyBorder="1" applyAlignment="1">
      <alignment vertical="center"/>
    </xf>
    <xf numFmtId="2" fontId="6" fillId="0" borderId="0" xfId="0" applyNumberFormat="1" applyFont="1" applyFill="1" applyAlignment="1">
      <alignment horizontal="center" vertical="center"/>
    </xf>
    <xf numFmtId="187" fontId="6" fillId="0" borderId="0" xfId="4" applyNumberFormat="1" applyFont="1" applyFill="1" applyBorder="1" applyAlignment="1">
      <alignment vertical="center"/>
    </xf>
    <xf numFmtId="187" fontId="6" fillId="0" borderId="1" xfId="4" applyNumberFormat="1" applyFont="1" applyFill="1" applyBorder="1" applyAlignment="1">
      <alignment vertical="center"/>
    </xf>
    <xf numFmtId="188" fontId="9" fillId="0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189" fontId="6" fillId="0" borderId="0" xfId="4" applyNumberFormat="1" applyFont="1" applyFill="1" applyAlignment="1">
      <alignment vertical="center"/>
    </xf>
    <xf numFmtId="188" fontId="9" fillId="0" borderId="1" xfId="1" applyNumberFormat="1" applyFont="1" applyFill="1" applyBorder="1" applyAlignment="1">
      <alignment horizontal="center" vertical="center"/>
    </xf>
    <xf numFmtId="187" fontId="6" fillId="0" borderId="3" xfId="4" applyNumberFormat="1" applyFont="1" applyFill="1" applyBorder="1" applyAlignment="1">
      <alignment vertical="center"/>
    </xf>
    <xf numFmtId="0" fontId="6" fillId="0" borderId="0" xfId="0" applyFont="1" applyFill="1" applyAlignment="1">
      <alignment horizontal="left" vertical="center"/>
    </xf>
    <xf numFmtId="43" fontId="6" fillId="0" borderId="0" xfId="4" applyNumberFormat="1" applyFont="1" applyFill="1" applyBorder="1" applyAlignment="1">
      <alignment vertical="center"/>
    </xf>
    <xf numFmtId="43" fontId="6" fillId="0" borderId="5" xfId="4" applyNumberFormat="1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187" fontId="6" fillId="0" borderId="5" xfId="4" applyNumberFormat="1" applyFont="1" applyFill="1" applyBorder="1" applyAlignment="1">
      <alignment vertical="center"/>
    </xf>
    <xf numFmtId="0" fontId="3" fillId="0" borderId="1" xfId="0" applyFont="1" applyFill="1" applyBorder="1" applyAlignment="1"/>
    <xf numFmtId="0" fontId="4" fillId="0" borderId="0" xfId="0" applyFont="1" applyFill="1" applyBorder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6" fillId="0" borderId="0" xfId="0" applyFont="1" applyFill="1" applyAlignment="1">
      <alignment horizontal="righ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/>
    </xf>
    <xf numFmtId="187" fontId="10" fillId="0" borderId="0" xfId="1" applyNumberFormat="1" applyFont="1" applyFill="1" applyAlignment="1">
      <alignment vertical="center"/>
    </xf>
    <xf numFmtId="0" fontId="11" fillId="0" borderId="0" xfId="0" applyFont="1" applyFill="1"/>
    <xf numFmtId="10" fontId="10" fillId="0" borderId="0" xfId="2" applyNumberFormat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2" fillId="0" borderId="0" xfId="0" applyFont="1"/>
    <xf numFmtId="187" fontId="0" fillId="0" borderId="0" xfId="1" applyNumberFormat="1" applyFont="1"/>
    <xf numFmtId="10" fontId="0" fillId="0" borderId="0" xfId="2" applyNumberFormat="1" applyFont="1"/>
    <xf numFmtId="187" fontId="6" fillId="0" borderId="4" xfId="3" applyNumberFormat="1" applyFont="1" applyFill="1" applyBorder="1" applyAlignment="1">
      <alignment vertical="center"/>
    </xf>
    <xf numFmtId="187" fontId="6" fillId="0" borderId="5" xfId="3" applyNumberFormat="1" applyFont="1" applyFill="1" applyBorder="1" applyAlignment="1">
      <alignment vertical="center"/>
    </xf>
    <xf numFmtId="190" fontId="6" fillId="0" borderId="1" xfId="0" applyNumberFormat="1" applyFont="1" applyFill="1" applyBorder="1" applyAlignment="1">
      <alignment vertical="center"/>
    </xf>
    <xf numFmtId="190" fontId="3" fillId="0" borderId="0" xfId="0" applyNumberFormat="1" applyFont="1" applyFill="1" applyAlignment="1">
      <alignment vertical="center"/>
    </xf>
    <xf numFmtId="0" fontId="3" fillId="0" borderId="0" xfId="0" quotePrefix="1" applyFont="1" applyFill="1" applyAlignment="1">
      <alignment horizontal="center" vertical="center"/>
    </xf>
    <xf numFmtId="191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3" fillId="2" borderId="0" xfId="0" quotePrefix="1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10" fontId="10" fillId="0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/>
    </xf>
    <xf numFmtId="188" fontId="6" fillId="2" borderId="0" xfId="0" applyNumberFormat="1" applyFont="1" applyFill="1" applyBorder="1" applyAlignment="1">
      <alignment vertical="center"/>
    </xf>
    <xf numFmtId="192" fontId="10" fillId="0" borderId="0" xfId="2" applyNumberFormat="1" applyFont="1" applyFill="1" applyAlignment="1">
      <alignment vertical="center"/>
    </xf>
    <xf numFmtId="192" fontId="6" fillId="0" borderId="0" xfId="2" applyNumberFormat="1" applyFont="1" applyFill="1" applyAlignment="1">
      <alignment vertical="center"/>
    </xf>
    <xf numFmtId="9" fontId="0" fillId="0" borderId="0" xfId="2" applyFont="1"/>
    <xf numFmtId="187" fontId="10" fillId="0" borderId="0" xfId="0" applyNumberFormat="1" applyFont="1" applyFill="1" applyAlignment="1">
      <alignment vertical="center"/>
    </xf>
    <xf numFmtId="0" fontId="0" fillId="0" borderId="0" xfId="0" quotePrefix="1"/>
    <xf numFmtId="187" fontId="0" fillId="0" borderId="6" xfId="1" applyNumberFormat="1" applyFont="1" applyBorder="1"/>
    <xf numFmtId="0" fontId="6" fillId="3" borderId="0" xfId="0" applyFont="1" applyFill="1" applyAlignment="1">
      <alignment vertical="center"/>
    </xf>
    <xf numFmtId="0" fontId="6" fillId="3" borderId="0" xfId="0" applyFont="1" applyFill="1" applyAlignment="1">
      <alignment horizontal="center" vertical="center"/>
    </xf>
    <xf numFmtId="187" fontId="6" fillId="3" borderId="0" xfId="4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187" fontId="6" fillId="2" borderId="0" xfId="4" applyNumberFormat="1" applyFont="1" applyFill="1" applyAlignment="1">
      <alignment vertical="center"/>
    </xf>
    <xf numFmtId="187" fontId="6" fillId="3" borderId="4" xfId="4" applyNumberFormat="1" applyFont="1" applyFill="1" applyBorder="1" applyAlignment="1">
      <alignment vertical="center"/>
    </xf>
    <xf numFmtId="2" fontId="6" fillId="3" borderId="0" xfId="0" applyNumberFormat="1" applyFont="1" applyFill="1" applyAlignment="1">
      <alignment horizontal="center" vertical="center"/>
    </xf>
    <xf numFmtId="187" fontId="6" fillId="3" borderId="0" xfId="4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5" fillId="0" borderId="0" xfId="0" applyFont="1" applyFill="1" applyAlignment="1"/>
    <xf numFmtId="0" fontId="15" fillId="0" borderId="0" xfId="0" applyFont="1" applyFill="1" applyAlignment="1">
      <alignment vertical="center"/>
    </xf>
    <xf numFmtId="0" fontId="16" fillId="0" borderId="0" xfId="0" applyFont="1" applyFill="1"/>
    <xf numFmtId="0" fontId="14" fillId="0" borderId="0" xfId="0" applyFont="1"/>
    <xf numFmtId="0" fontId="17" fillId="0" borderId="0" xfId="0" applyFont="1" applyFill="1" applyAlignment="1"/>
    <xf numFmtId="0" fontId="17" fillId="0" borderId="0" xfId="0" applyFont="1" applyFill="1" applyAlignment="1">
      <alignment vertical="center"/>
    </xf>
    <xf numFmtId="0" fontId="18" fillId="0" borderId="0" xfId="0" applyFont="1" applyFill="1"/>
    <xf numFmtId="192" fontId="19" fillId="0" borderId="0" xfId="2" applyNumberFormat="1" applyFont="1" applyFill="1" applyAlignment="1">
      <alignment vertical="center"/>
    </xf>
    <xf numFmtId="0" fontId="2" fillId="4" borderId="0" xfId="0" applyFont="1" applyFill="1" applyAlignment="1">
      <alignment vertical="center"/>
    </xf>
    <xf numFmtId="187" fontId="2" fillId="4" borderId="4" xfId="4" applyNumberFormat="1" applyFont="1" applyFill="1" applyBorder="1" applyAlignment="1">
      <alignment vertical="center"/>
    </xf>
    <xf numFmtId="0" fontId="2" fillId="2" borderId="0" xfId="0" quotePrefix="1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0" xfId="0" applyFill="1"/>
    <xf numFmtId="10" fontId="12" fillId="0" borderId="0" xfId="2" applyNumberFormat="1" applyFont="1" applyFill="1"/>
    <xf numFmtId="187" fontId="12" fillId="0" borderId="0" xfId="1" applyNumberFormat="1" applyFont="1" applyFill="1"/>
    <xf numFmtId="187" fontId="0" fillId="0" borderId="0" xfId="1" applyNumberFormat="1" applyFont="1" applyFill="1"/>
    <xf numFmtId="9" fontId="12" fillId="0" borderId="0" xfId="2" applyFont="1" applyFill="1"/>
    <xf numFmtId="192" fontId="12" fillId="0" borderId="0" xfId="2" applyNumberFormat="1" applyFont="1" applyFill="1"/>
    <xf numFmtId="187" fontId="12" fillId="0" borderId="0" xfId="0" applyNumberFormat="1" applyFont="1" applyFill="1"/>
  </cellXfs>
  <cellStyles count="5">
    <cellStyle name="Comma" xfId="1" builtinId="3"/>
    <cellStyle name="Comma 3" xfId="4"/>
    <cellStyle name="Comma 4" xf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9525</xdr:rowOff>
    </xdr:from>
    <xdr:to>
      <xdr:col>10</xdr:col>
      <xdr:colOff>523875</xdr:colOff>
      <xdr:row>27</xdr:row>
      <xdr:rowOff>28575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" y="9525"/>
          <a:ext cx="6915150" cy="49053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561975</xdr:colOff>
      <xdr:row>34</xdr:row>
      <xdr:rowOff>171450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419975" cy="63246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5"/>
  <sheetViews>
    <sheetView tabSelected="1" workbookViewId="0">
      <selection activeCell="M11" sqref="M11"/>
    </sheetView>
  </sheetViews>
  <sheetFormatPr defaultRowHeight="23.25" x14ac:dyDescent="0.5"/>
  <cols>
    <col min="1" max="5" width="9" style="1"/>
    <col min="6" max="6" width="1.5" style="22" customWidth="1"/>
    <col min="7" max="7" width="10.5" style="1" customWidth="1"/>
    <col min="8" max="8" width="11.125" style="1" customWidth="1"/>
    <col min="9" max="9" width="10.625" style="1" customWidth="1"/>
    <col min="10" max="10" width="9" style="96"/>
    <col min="11" max="11" width="7.75" style="92" customWidth="1"/>
    <col min="12" max="12" width="9" style="50"/>
    <col min="13" max="13" width="12" style="50" bestFit="1" customWidth="1"/>
    <col min="14" max="19" width="9" style="50"/>
    <col min="20" max="16384" width="9" style="1"/>
  </cols>
  <sheetData>
    <row r="1" spans="1:19" x14ac:dyDescent="0.5">
      <c r="A1" s="104" t="s">
        <v>0</v>
      </c>
      <c r="B1" s="104"/>
      <c r="C1" s="104"/>
      <c r="D1" s="104"/>
      <c r="E1" s="104"/>
      <c r="F1" s="104"/>
      <c r="G1" s="104"/>
      <c r="H1" s="104"/>
    </row>
    <row r="2" spans="1:19" x14ac:dyDescent="0.5">
      <c r="A2" s="104" t="s">
        <v>1</v>
      </c>
      <c r="B2" s="104"/>
      <c r="C2" s="104"/>
      <c r="D2" s="104"/>
      <c r="E2" s="104"/>
      <c r="F2" s="104"/>
      <c r="G2" s="104"/>
      <c r="H2" s="104"/>
    </row>
    <row r="3" spans="1:19" x14ac:dyDescent="0.5">
      <c r="A3" s="104" t="s">
        <v>2</v>
      </c>
      <c r="B3" s="104"/>
      <c r="C3" s="104"/>
      <c r="D3" s="104"/>
      <c r="E3" s="104"/>
      <c r="F3" s="104"/>
      <c r="G3" s="104"/>
      <c r="H3" s="104"/>
    </row>
    <row r="4" spans="1:19" x14ac:dyDescent="0.5">
      <c r="A4" s="105" t="s">
        <v>3</v>
      </c>
      <c r="B4" s="105"/>
      <c r="C4" s="105"/>
      <c r="D4" s="105"/>
      <c r="E4" s="105"/>
      <c r="F4" s="105"/>
      <c r="G4" s="105"/>
      <c r="H4" s="105"/>
      <c r="I4" s="46"/>
    </row>
    <row r="5" spans="1:19" s="3" customFormat="1" x14ac:dyDescent="0.2">
      <c r="A5" s="106" t="s">
        <v>30</v>
      </c>
      <c r="B5" s="106"/>
      <c r="C5" s="106"/>
      <c r="D5" s="106"/>
      <c r="E5" s="106"/>
      <c r="G5" s="2"/>
      <c r="H5" s="47" t="s">
        <v>4</v>
      </c>
      <c r="I5" s="23"/>
      <c r="J5" s="91"/>
      <c r="K5" s="93">
        <v>1</v>
      </c>
      <c r="L5" s="91">
        <v>1</v>
      </c>
      <c r="M5" s="91" t="s">
        <v>140</v>
      </c>
      <c r="N5" s="51"/>
      <c r="O5" s="51"/>
      <c r="P5" s="51"/>
      <c r="Q5" s="51"/>
      <c r="R5" s="51"/>
      <c r="S5" s="51"/>
    </row>
    <row r="6" spans="1:19" s="3" customFormat="1" x14ac:dyDescent="0.2">
      <c r="A6" s="108"/>
      <c r="B6" s="108"/>
      <c r="C6" s="108"/>
      <c r="D6" s="108"/>
      <c r="E6" s="108"/>
      <c r="G6" s="4" t="s">
        <v>5</v>
      </c>
      <c r="H6" s="4">
        <v>2011</v>
      </c>
      <c r="I6" s="4">
        <v>2010</v>
      </c>
      <c r="J6" s="97">
        <v>2011</v>
      </c>
      <c r="K6" s="93"/>
      <c r="L6" s="51"/>
      <c r="M6" s="52">
        <f>+(H9+H12+H18+H19+I9+I12+I18+I19)/2000</f>
        <v>1974687.1584999999</v>
      </c>
      <c r="N6" s="51" t="s">
        <v>31</v>
      </c>
      <c r="O6" s="51"/>
      <c r="P6" s="51"/>
      <c r="Q6" s="51"/>
      <c r="R6" s="51"/>
      <c r="S6" s="51"/>
    </row>
    <row r="7" spans="1:19" s="3" customFormat="1" x14ac:dyDescent="0.2">
      <c r="A7" s="107" t="s">
        <v>6</v>
      </c>
      <c r="B7" s="107"/>
      <c r="C7" s="107"/>
      <c r="D7" s="107"/>
      <c r="E7" s="107"/>
      <c r="G7" s="5"/>
      <c r="H7" s="4"/>
      <c r="I7" s="4"/>
      <c r="J7" s="97"/>
      <c r="K7" s="93"/>
      <c r="L7" s="51"/>
      <c r="M7" s="51"/>
      <c r="N7" s="51"/>
      <c r="O7" s="51"/>
      <c r="P7" s="51"/>
      <c r="Q7" s="51"/>
      <c r="R7" s="51"/>
      <c r="S7" s="51"/>
    </row>
    <row r="8" spans="1:19" s="3" customFormat="1" x14ac:dyDescent="0.2">
      <c r="A8" s="109" t="s">
        <v>7</v>
      </c>
      <c r="B8" s="109"/>
      <c r="C8" s="109"/>
      <c r="D8" s="109"/>
      <c r="E8" s="109"/>
      <c r="G8" s="2"/>
      <c r="H8" s="6">
        <v>45289067</v>
      </c>
      <c r="I8" s="6">
        <v>40507974</v>
      </c>
      <c r="J8" s="99">
        <f>+H8/H$28</f>
        <v>2.1495466868378828E-2</v>
      </c>
      <c r="K8" s="93">
        <v>2</v>
      </c>
      <c r="L8" s="91">
        <v>2</v>
      </c>
      <c r="M8" s="91" t="s">
        <v>141</v>
      </c>
      <c r="N8" s="51"/>
      <c r="O8" s="51"/>
      <c r="P8" s="51"/>
      <c r="Q8" s="51"/>
      <c r="R8" s="51"/>
      <c r="S8" s="51"/>
    </row>
    <row r="9" spans="1:19" s="3" customFormat="1" x14ac:dyDescent="0.2">
      <c r="A9" s="102" t="s">
        <v>8</v>
      </c>
      <c r="B9" s="103"/>
      <c r="C9" s="103"/>
      <c r="D9" s="103"/>
      <c r="E9" s="103"/>
      <c r="F9" s="25"/>
      <c r="G9" s="26">
        <v>6.2</v>
      </c>
      <c r="H9" s="27">
        <v>258072475</v>
      </c>
      <c r="I9" s="27">
        <v>345470125</v>
      </c>
      <c r="J9" s="99">
        <f t="shared" ref="J9:J13" si="0">+H9/H$28</f>
        <v>0.12248846583664494</v>
      </c>
      <c r="K9" s="93"/>
      <c r="L9" s="51"/>
      <c r="M9" s="52">
        <f>+(H32+I32+H33+I33+H34+I34+H37+I37)/2000</f>
        <v>1732747.493</v>
      </c>
      <c r="N9" s="51" t="s">
        <v>31</v>
      </c>
      <c r="O9" s="51"/>
      <c r="P9" s="51"/>
      <c r="Q9" s="51"/>
      <c r="R9" s="51"/>
      <c r="S9" s="51"/>
    </row>
    <row r="10" spans="1:19" s="3" customFormat="1" x14ac:dyDescent="0.2">
      <c r="A10" s="109" t="s">
        <v>9</v>
      </c>
      <c r="B10" s="109"/>
      <c r="C10" s="109"/>
      <c r="D10" s="109"/>
      <c r="E10" s="109"/>
      <c r="G10" s="2"/>
      <c r="H10" s="6">
        <v>165817</v>
      </c>
      <c r="I10" s="6">
        <v>0</v>
      </c>
      <c r="J10" s="99">
        <f t="shared" si="0"/>
        <v>7.8701418815140802E-5</v>
      </c>
      <c r="K10" s="93"/>
      <c r="L10" s="51"/>
      <c r="M10" s="51"/>
      <c r="N10" s="51"/>
      <c r="O10" s="51"/>
      <c r="P10" s="51"/>
      <c r="Q10" s="51"/>
      <c r="R10" s="51"/>
      <c r="S10" s="51"/>
    </row>
    <row r="11" spans="1:19" s="3" customFormat="1" x14ac:dyDescent="0.2">
      <c r="A11" s="9" t="s">
        <v>10</v>
      </c>
      <c r="G11" s="2">
        <v>6.3</v>
      </c>
      <c r="H11" s="6">
        <v>10129136</v>
      </c>
      <c r="I11" s="6">
        <v>15233750</v>
      </c>
      <c r="J11" s="99">
        <f t="shared" si="0"/>
        <v>4.8075732558876347E-3</v>
      </c>
      <c r="K11" s="93">
        <v>3</v>
      </c>
      <c r="L11" s="91">
        <v>3</v>
      </c>
      <c r="M11" s="91" t="s">
        <v>109</v>
      </c>
      <c r="N11" s="51"/>
      <c r="O11" s="51"/>
      <c r="P11" s="51"/>
      <c r="Q11" s="51"/>
      <c r="R11" s="51"/>
      <c r="S11" s="51"/>
    </row>
    <row r="12" spans="1:19" s="3" customFormat="1" x14ac:dyDescent="0.2">
      <c r="A12" s="24" t="s">
        <v>11</v>
      </c>
      <c r="B12" s="25"/>
      <c r="C12" s="25"/>
      <c r="D12" s="25"/>
      <c r="E12" s="25"/>
      <c r="F12" s="25"/>
      <c r="G12" s="26">
        <v>6.4</v>
      </c>
      <c r="H12" s="27">
        <v>328067713</v>
      </c>
      <c r="I12" s="27">
        <v>284406887</v>
      </c>
      <c r="J12" s="99">
        <f t="shared" si="0"/>
        <v>0.15571017736744971</v>
      </c>
      <c r="K12" s="93"/>
      <c r="L12" s="51"/>
      <c r="M12" s="54">
        <f>+(H69/1000)/M6</f>
        <v>4.1438044830431307E-2</v>
      </c>
      <c r="N12" s="51"/>
      <c r="O12" s="51"/>
      <c r="P12" s="51"/>
      <c r="Q12" s="51"/>
      <c r="R12" s="51"/>
      <c r="S12" s="51"/>
    </row>
    <row r="13" spans="1:19" s="3" customFormat="1" x14ac:dyDescent="0.2">
      <c r="A13" s="8" t="s">
        <v>12</v>
      </c>
      <c r="G13" s="2">
        <v>6.5</v>
      </c>
      <c r="H13" s="6">
        <v>707227</v>
      </c>
      <c r="I13" s="6">
        <v>640012</v>
      </c>
      <c r="J13" s="99">
        <f t="shared" si="0"/>
        <v>3.3566985486636219E-4</v>
      </c>
      <c r="K13" s="93"/>
      <c r="L13" s="51"/>
      <c r="M13" s="51"/>
      <c r="N13" s="51"/>
      <c r="O13" s="51"/>
      <c r="P13" s="51"/>
      <c r="Q13" s="51"/>
      <c r="R13" s="51"/>
      <c r="S13" s="51"/>
    </row>
    <row r="14" spans="1:19" s="3" customFormat="1" x14ac:dyDescent="0.2">
      <c r="A14" s="3" t="s">
        <v>13</v>
      </c>
      <c r="G14" s="2"/>
      <c r="H14" s="7"/>
      <c r="I14" s="7"/>
      <c r="J14" s="91"/>
      <c r="K14" s="93">
        <v>3</v>
      </c>
      <c r="L14" s="91">
        <v>4</v>
      </c>
      <c r="M14" s="91" t="s">
        <v>108</v>
      </c>
      <c r="N14" s="51"/>
      <c r="O14" s="51"/>
      <c r="P14" s="51"/>
      <c r="Q14" s="51"/>
      <c r="R14" s="51"/>
      <c r="S14" s="51"/>
    </row>
    <row r="15" spans="1:19" s="3" customFormat="1" x14ac:dyDescent="0.2">
      <c r="B15" s="3" t="s">
        <v>14</v>
      </c>
      <c r="G15" s="2">
        <v>6.6</v>
      </c>
      <c r="H15" s="7"/>
      <c r="I15" s="7"/>
      <c r="J15" s="97"/>
      <c r="K15" s="93"/>
      <c r="L15" s="51"/>
      <c r="M15" s="54">
        <f>+(H70/1000)/M9</f>
        <v>1.6812184763034022E-2</v>
      </c>
      <c r="N15" s="51"/>
      <c r="O15" s="51"/>
      <c r="P15" s="51"/>
      <c r="Q15" s="51"/>
      <c r="R15" s="51"/>
      <c r="S15" s="51"/>
    </row>
    <row r="16" spans="1:19" s="3" customFormat="1" x14ac:dyDescent="0.2">
      <c r="C16" s="3" t="s">
        <v>15</v>
      </c>
      <c r="G16" s="2"/>
      <c r="H16" s="6">
        <v>1471448699</v>
      </c>
      <c r="I16" s="6">
        <v>1256611358</v>
      </c>
      <c r="J16" s="99">
        <f t="shared" ref="J16:J28" si="1">+H16/H$28</f>
        <v>0.69839099926420722</v>
      </c>
      <c r="K16" s="93"/>
      <c r="L16" s="51"/>
      <c r="M16" s="51"/>
      <c r="N16" s="51"/>
      <c r="O16" s="51"/>
      <c r="P16" s="51"/>
      <c r="Q16" s="51"/>
      <c r="R16" s="51"/>
      <c r="S16" s="51"/>
    </row>
    <row r="17" spans="1:19" s="3" customFormat="1" x14ac:dyDescent="0.2">
      <c r="C17" s="3" t="s">
        <v>16</v>
      </c>
      <c r="G17" s="2"/>
      <c r="H17" s="6">
        <v>4161295</v>
      </c>
      <c r="I17" s="6">
        <v>2675133</v>
      </c>
      <c r="J17" s="99">
        <f t="shared" si="1"/>
        <v>1.9750678193933753E-3</v>
      </c>
      <c r="K17" s="93"/>
      <c r="L17" s="91">
        <v>5</v>
      </c>
      <c r="M17" s="91" t="s">
        <v>110</v>
      </c>
      <c r="N17" s="51"/>
      <c r="O17" s="51"/>
      <c r="P17" s="51"/>
      <c r="Q17" s="51"/>
      <c r="R17" s="51"/>
      <c r="S17" s="51"/>
    </row>
    <row r="18" spans="1:19" s="3" customFormat="1" x14ac:dyDescent="0.2">
      <c r="A18" s="25"/>
      <c r="B18" s="25"/>
      <c r="C18" s="25"/>
      <c r="D18" s="25"/>
      <c r="E18" s="29" t="s">
        <v>17</v>
      </c>
      <c r="F18" s="25"/>
      <c r="G18" s="26"/>
      <c r="H18" s="28">
        <v>1475609994</v>
      </c>
      <c r="I18" s="28">
        <v>1259286491</v>
      </c>
      <c r="J18" s="99">
        <f t="shared" si="1"/>
        <v>0.70036606708360061</v>
      </c>
      <c r="K18" s="93"/>
      <c r="L18" s="51"/>
      <c r="M18" s="73">
        <f>+M12-M15</f>
        <v>2.4625860067397285E-2</v>
      </c>
      <c r="N18" s="51"/>
      <c r="O18" s="51"/>
      <c r="P18" s="51"/>
      <c r="Q18" s="51"/>
      <c r="R18" s="51"/>
      <c r="S18" s="51"/>
    </row>
    <row r="19" spans="1:19" s="3" customFormat="1" x14ac:dyDescent="0.2">
      <c r="A19" s="25"/>
      <c r="B19" s="25"/>
      <c r="C19" s="74" t="s">
        <v>18</v>
      </c>
      <c r="D19" s="25"/>
      <c r="E19" s="25"/>
      <c r="F19" s="25"/>
      <c r="G19" s="26"/>
      <c r="H19" s="75">
        <v>-1050594</v>
      </c>
      <c r="I19" s="75">
        <v>-488774</v>
      </c>
      <c r="J19" s="99">
        <f t="shared" si="1"/>
        <v>-4.9864150478343009E-4</v>
      </c>
      <c r="K19" s="93"/>
      <c r="L19" s="51"/>
      <c r="M19" s="51"/>
      <c r="N19" s="51"/>
      <c r="O19" s="51"/>
      <c r="P19" s="51"/>
      <c r="Q19" s="51"/>
      <c r="R19" s="51"/>
      <c r="S19" s="51"/>
    </row>
    <row r="20" spans="1:19" s="3" customFormat="1" x14ac:dyDescent="0.2">
      <c r="C20" s="10" t="s">
        <v>19</v>
      </c>
      <c r="G20" s="12">
        <v>6.7</v>
      </c>
      <c r="H20" s="11">
        <v>-79993423</v>
      </c>
      <c r="I20" s="11">
        <v>-67851901</v>
      </c>
      <c r="J20" s="99">
        <f t="shared" si="1"/>
        <v>-3.7967131753557939E-2</v>
      </c>
      <c r="K20" s="93"/>
      <c r="L20" s="91">
        <v>6</v>
      </c>
      <c r="M20" s="91" t="s">
        <v>32</v>
      </c>
      <c r="N20" s="51"/>
      <c r="O20" s="51"/>
      <c r="P20" s="51"/>
      <c r="Q20" s="51"/>
      <c r="R20" s="51"/>
      <c r="S20" s="51"/>
    </row>
    <row r="21" spans="1:19" s="3" customFormat="1" x14ac:dyDescent="0.2">
      <c r="C21" s="10" t="s">
        <v>20</v>
      </c>
      <c r="G21" s="12">
        <v>6.8</v>
      </c>
      <c r="H21" s="13">
        <v>-4744083</v>
      </c>
      <c r="I21" s="13">
        <v>-4600295</v>
      </c>
      <c r="J21" s="99">
        <f t="shared" si="1"/>
        <v>-2.2516754197506265E-3</v>
      </c>
      <c r="K21" s="93"/>
      <c r="L21" s="51"/>
      <c r="M21" s="54">
        <f>+H71/(M6*1000)</f>
        <v>2.6685697414484909E-2</v>
      </c>
      <c r="N21" s="51"/>
      <c r="O21" s="51"/>
      <c r="P21" s="51"/>
      <c r="Q21" s="51"/>
      <c r="R21" s="51"/>
      <c r="S21" s="51"/>
    </row>
    <row r="22" spans="1:19" s="3" customFormat="1" x14ac:dyDescent="0.2">
      <c r="E22" s="9" t="s">
        <v>21</v>
      </c>
      <c r="G22" s="2"/>
      <c r="H22" s="14">
        <v>1389821894</v>
      </c>
      <c r="I22" s="14">
        <v>1186345521</v>
      </c>
      <c r="J22" s="99">
        <f t="shared" si="1"/>
        <v>0.65964861840550859</v>
      </c>
      <c r="K22" s="93"/>
      <c r="L22" s="51"/>
      <c r="M22" s="51"/>
      <c r="N22" s="51"/>
      <c r="O22" s="51"/>
      <c r="P22" s="51"/>
      <c r="Q22" s="51"/>
      <c r="R22" s="51"/>
      <c r="S22" s="51"/>
    </row>
    <row r="23" spans="1:19" s="3" customFormat="1" x14ac:dyDescent="0.2">
      <c r="A23" s="3" t="s">
        <v>22</v>
      </c>
      <c r="G23" s="2"/>
      <c r="H23" s="6">
        <v>283506</v>
      </c>
      <c r="I23" s="6">
        <v>670877</v>
      </c>
      <c r="J23" s="99">
        <f t="shared" si="1"/>
        <v>1.3455993319506026E-4</v>
      </c>
      <c r="K23" s="93"/>
      <c r="L23" s="51">
        <v>7</v>
      </c>
      <c r="M23" s="51" t="s">
        <v>75</v>
      </c>
      <c r="N23" s="51"/>
      <c r="O23" s="51"/>
      <c r="P23" s="51"/>
      <c r="Q23" s="51"/>
      <c r="R23" s="51"/>
      <c r="S23" s="51"/>
    </row>
    <row r="24" spans="1:19" s="3" customFormat="1" x14ac:dyDescent="0.2">
      <c r="A24" s="8" t="s">
        <v>23</v>
      </c>
      <c r="G24" s="2">
        <v>6.9</v>
      </c>
      <c r="H24" s="6">
        <v>25456863</v>
      </c>
      <c r="I24" s="6">
        <v>28829324</v>
      </c>
      <c r="J24" s="99">
        <f t="shared" si="1"/>
        <v>1.2082544230583483E-2</v>
      </c>
      <c r="K24" s="93"/>
      <c r="L24" s="51"/>
      <c r="M24" s="52">
        <f>+H89/1000</f>
        <v>12027.415999999999</v>
      </c>
      <c r="N24" s="51" t="s">
        <v>31</v>
      </c>
      <c r="O24" s="51"/>
      <c r="P24" s="51"/>
      <c r="Q24" s="51"/>
      <c r="R24" s="51"/>
      <c r="S24" s="51"/>
    </row>
    <row r="25" spans="1:19" s="3" customFormat="1" x14ac:dyDescent="0.2">
      <c r="A25" s="3" t="s">
        <v>24</v>
      </c>
      <c r="G25" s="15">
        <v>6.1</v>
      </c>
      <c r="H25" s="6">
        <v>35239756</v>
      </c>
      <c r="I25" s="6">
        <v>36510343</v>
      </c>
      <c r="J25" s="99">
        <f t="shared" si="1"/>
        <v>1.6725780805944931E-2</v>
      </c>
      <c r="K25" s="93"/>
      <c r="L25" s="51"/>
      <c r="M25" s="51"/>
      <c r="N25" s="51"/>
      <c r="O25" s="51"/>
      <c r="P25" s="51"/>
      <c r="Q25" s="51"/>
      <c r="R25" s="51"/>
      <c r="S25" s="51"/>
    </row>
    <row r="26" spans="1:19" s="3" customFormat="1" x14ac:dyDescent="0.2">
      <c r="A26" s="3" t="s">
        <v>25</v>
      </c>
      <c r="G26" s="2">
        <v>6.11</v>
      </c>
      <c r="H26" s="6">
        <v>330368</v>
      </c>
      <c r="I26" s="6">
        <v>325365</v>
      </c>
      <c r="J26" s="99">
        <f t="shared" si="1"/>
        <v>1.5680195837049538E-4</v>
      </c>
      <c r="K26" s="93"/>
      <c r="L26" s="51">
        <v>8</v>
      </c>
      <c r="M26" s="51" t="s">
        <v>76</v>
      </c>
      <c r="N26" s="51"/>
      <c r="O26" s="51"/>
      <c r="P26" s="51"/>
      <c r="Q26" s="51"/>
      <c r="R26" s="51"/>
      <c r="S26" s="51"/>
    </row>
    <row r="27" spans="1:19" s="3" customFormat="1" x14ac:dyDescent="0.2">
      <c r="A27" s="3" t="s">
        <v>26</v>
      </c>
      <c r="G27" s="2"/>
      <c r="H27" s="6">
        <v>13348639</v>
      </c>
      <c r="I27" s="6">
        <v>10747588</v>
      </c>
      <c r="J27" s="99">
        <f t="shared" si="1"/>
        <v>6.335640064354814E-3</v>
      </c>
      <c r="K27" s="93"/>
      <c r="L27" s="51"/>
      <c r="M27" s="54">
        <f>+H89/((H18+I18)/2)</f>
        <v>8.7955182698624141E-3</v>
      </c>
      <c r="N27" s="51" t="s">
        <v>77</v>
      </c>
      <c r="O27" s="51"/>
      <c r="P27" s="51"/>
      <c r="Q27" s="51"/>
      <c r="R27" s="51"/>
      <c r="S27" s="51"/>
    </row>
    <row r="28" spans="1:19" s="3" customFormat="1" ht="24" thickBot="1" x14ac:dyDescent="0.25">
      <c r="A28" s="16" t="s">
        <v>27</v>
      </c>
      <c r="G28" s="5"/>
      <c r="H28" s="17">
        <v>2106912461</v>
      </c>
      <c r="I28" s="17">
        <v>1949687766</v>
      </c>
      <c r="J28" s="99">
        <f t="shared" si="1"/>
        <v>1</v>
      </c>
      <c r="K28" s="93"/>
      <c r="L28" s="51"/>
      <c r="M28" s="51"/>
      <c r="N28" s="51"/>
      <c r="O28" s="51"/>
      <c r="P28" s="51"/>
      <c r="Q28" s="51"/>
      <c r="R28" s="51"/>
      <c r="S28" s="51"/>
    </row>
    <row r="29" spans="1:19" s="3" customFormat="1" ht="24" thickTop="1" x14ac:dyDescent="0.2">
      <c r="A29" s="16"/>
      <c r="G29" s="58"/>
      <c r="H29" s="18"/>
      <c r="I29" s="18"/>
      <c r="J29" s="91"/>
      <c r="K29" s="93">
        <v>4</v>
      </c>
      <c r="L29" s="91">
        <v>9</v>
      </c>
      <c r="M29" s="91" t="s">
        <v>112</v>
      </c>
      <c r="N29" s="51"/>
      <c r="O29" s="51"/>
      <c r="P29" s="51"/>
      <c r="Q29" s="51"/>
      <c r="R29" s="51"/>
      <c r="S29" s="51"/>
    </row>
    <row r="30" spans="1:19" s="3" customFormat="1" x14ac:dyDescent="0.2">
      <c r="A30" s="108"/>
      <c r="B30" s="108"/>
      <c r="C30" s="108"/>
      <c r="D30" s="108"/>
      <c r="E30" s="108"/>
      <c r="G30" s="56" t="s">
        <v>5</v>
      </c>
      <c r="H30" s="56">
        <v>2011</v>
      </c>
      <c r="I30" s="56">
        <v>2010</v>
      </c>
      <c r="J30" s="97"/>
      <c r="K30" s="93"/>
      <c r="L30" s="51"/>
      <c r="M30" s="52">
        <f>+(H71+H74+SUM(H75:H80))/1000</f>
        <v>82234.024999999994</v>
      </c>
      <c r="N30" s="51" t="s">
        <v>31</v>
      </c>
      <c r="O30" s="51"/>
      <c r="P30" s="51"/>
      <c r="Q30" s="51"/>
      <c r="R30" s="51"/>
      <c r="S30" s="51"/>
    </row>
    <row r="31" spans="1:19" s="3" customFormat="1" x14ac:dyDescent="0.2">
      <c r="A31" s="107" t="s">
        <v>79</v>
      </c>
      <c r="B31" s="107"/>
      <c r="C31" s="107"/>
      <c r="D31" s="107"/>
      <c r="E31" s="107"/>
      <c r="F31" s="5"/>
      <c r="G31" s="58"/>
      <c r="H31" s="56"/>
      <c r="J31" s="97"/>
      <c r="K31" s="93"/>
      <c r="L31" s="51"/>
      <c r="M31" s="51"/>
      <c r="N31" s="51"/>
      <c r="O31" s="51"/>
      <c r="P31" s="51"/>
      <c r="Q31" s="51"/>
      <c r="R31" s="51"/>
      <c r="S31" s="51"/>
    </row>
    <row r="32" spans="1:19" s="3" customFormat="1" x14ac:dyDescent="0.2">
      <c r="A32" s="24" t="s">
        <v>80</v>
      </c>
      <c r="B32" s="25"/>
      <c r="C32" s="25"/>
      <c r="D32" s="25"/>
      <c r="E32" s="25"/>
      <c r="F32" s="70"/>
      <c r="G32" s="71">
        <v>6.13</v>
      </c>
      <c r="H32" s="27">
        <v>1587834143</v>
      </c>
      <c r="I32" s="27">
        <v>1394387726</v>
      </c>
      <c r="J32" s="99">
        <f t="shared" ref="J32:J41" si="2">+H32/H$28</f>
        <v>0.75363080924888981</v>
      </c>
      <c r="K32" s="93"/>
      <c r="L32" s="51">
        <v>10</v>
      </c>
      <c r="M32" s="91" t="s">
        <v>113</v>
      </c>
      <c r="N32" s="51"/>
      <c r="O32" s="51"/>
      <c r="P32" s="51"/>
      <c r="Q32" s="51"/>
      <c r="R32" s="51"/>
      <c r="S32" s="51"/>
    </row>
    <row r="33" spans="1:19" s="3" customFormat="1" x14ac:dyDescent="0.2">
      <c r="A33" s="103" t="s">
        <v>8</v>
      </c>
      <c r="B33" s="103"/>
      <c r="C33" s="103"/>
      <c r="D33" s="103"/>
      <c r="E33" s="103"/>
      <c r="F33" s="70"/>
      <c r="G33" s="72">
        <v>6.14</v>
      </c>
      <c r="H33" s="27">
        <v>90817386</v>
      </c>
      <c r="I33" s="27">
        <v>131525568</v>
      </c>
      <c r="J33" s="99">
        <f t="shared" si="2"/>
        <v>4.3104489475037568E-2</v>
      </c>
      <c r="K33" s="93"/>
      <c r="L33" s="51"/>
      <c r="M33" s="52">
        <f>+M30</f>
        <v>82234.024999999994</v>
      </c>
      <c r="N33" s="51" t="s">
        <v>31</v>
      </c>
      <c r="O33" s="51" t="s">
        <v>114</v>
      </c>
      <c r="P33" s="51"/>
      <c r="Q33" s="51"/>
      <c r="R33" s="51"/>
      <c r="S33" s="51"/>
    </row>
    <row r="34" spans="1:19" s="3" customFormat="1" x14ac:dyDescent="0.2">
      <c r="A34" s="103" t="s">
        <v>81</v>
      </c>
      <c r="B34" s="103"/>
      <c r="C34" s="103"/>
      <c r="D34" s="103"/>
      <c r="E34" s="103"/>
      <c r="F34" s="70"/>
      <c r="G34" s="26"/>
      <c r="H34" s="27">
        <v>7168993</v>
      </c>
      <c r="I34" s="27">
        <v>6954104</v>
      </c>
      <c r="J34" s="99">
        <f t="shared" si="2"/>
        <v>3.4026060088881878E-3</v>
      </c>
      <c r="K34" s="93"/>
      <c r="L34" s="51"/>
      <c r="M34" s="52">
        <f>+H88/1000</f>
        <v>36059.023999999998</v>
      </c>
      <c r="N34" s="51" t="s">
        <v>31</v>
      </c>
      <c r="O34" s="51" t="s">
        <v>115</v>
      </c>
      <c r="P34" s="51"/>
      <c r="Q34" s="51"/>
      <c r="R34" s="51"/>
      <c r="S34" s="51"/>
    </row>
    <row r="35" spans="1:19" s="3" customFormat="1" x14ac:dyDescent="0.2">
      <c r="A35" s="59" t="s">
        <v>82</v>
      </c>
      <c r="F35" s="58"/>
      <c r="G35" s="57"/>
      <c r="H35" s="6">
        <v>269534</v>
      </c>
      <c r="I35" s="6">
        <v>0</v>
      </c>
      <c r="J35" s="99">
        <f t="shared" si="2"/>
        <v>1.2792842844171684E-4</v>
      </c>
      <c r="K35" s="93"/>
      <c r="L35" s="51"/>
      <c r="M35" s="76">
        <f>+M34/M33</f>
        <v>0.43849275284774153</v>
      </c>
      <c r="N35" s="51" t="s">
        <v>116</v>
      </c>
      <c r="O35" s="51"/>
      <c r="P35" s="51"/>
      <c r="Q35" s="51"/>
      <c r="R35" s="51"/>
      <c r="S35" s="51"/>
    </row>
    <row r="36" spans="1:19" s="3" customFormat="1" x14ac:dyDescent="0.2">
      <c r="A36" s="3" t="s">
        <v>83</v>
      </c>
      <c r="F36" s="58"/>
      <c r="G36" s="57">
        <v>6.3</v>
      </c>
      <c r="H36" s="6">
        <v>15197572</v>
      </c>
      <c r="I36" s="6">
        <v>8546408</v>
      </c>
      <c r="J36" s="99">
        <f t="shared" si="2"/>
        <v>7.2131957455825214E-3</v>
      </c>
      <c r="K36" s="93"/>
      <c r="L36" s="51"/>
      <c r="M36" s="51"/>
      <c r="N36" s="51"/>
      <c r="O36" s="51"/>
      <c r="P36" s="51"/>
      <c r="Q36" s="51"/>
      <c r="R36" s="51"/>
      <c r="S36" s="51"/>
    </row>
    <row r="37" spans="1:19" s="3" customFormat="1" x14ac:dyDescent="0.2">
      <c r="A37" s="24" t="s">
        <v>84</v>
      </c>
      <c r="B37" s="25"/>
      <c r="C37" s="25"/>
      <c r="D37" s="25"/>
      <c r="E37" s="25"/>
      <c r="F37" s="70"/>
      <c r="G37" s="71">
        <v>6.15</v>
      </c>
      <c r="H37" s="27">
        <v>116927560</v>
      </c>
      <c r="I37" s="27">
        <v>129879506</v>
      </c>
      <c r="J37" s="99">
        <f t="shared" si="2"/>
        <v>5.5497113508219932E-2</v>
      </c>
      <c r="K37" s="93"/>
      <c r="L37" s="51">
        <v>11</v>
      </c>
      <c r="M37" s="51" t="s">
        <v>128</v>
      </c>
      <c r="N37" s="51"/>
      <c r="O37" s="51"/>
      <c r="P37" s="51"/>
      <c r="Q37" s="51"/>
      <c r="R37" s="51"/>
      <c r="S37" s="51"/>
    </row>
    <row r="38" spans="1:19" s="3" customFormat="1" x14ac:dyDescent="0.2">
      <c r="A38" s="3" t="s">
        <v>85</v>
      </c>
      <c r="F38" s="58"/>
      <c r="G38" s="57"/>
      <c r="H38" s="18">
        <v>283506</v>
      </c>
      <c r="I38" s="6">
        <v>670877</v>
      </c>
      <c r="J38" s="99">
        <f t="shared" si="2"/>
        <v>1.3455993319506026E-4</v>
      </c>
      <c r="K38" s="93"/>
      <c r="L38" s="51"/>
      <c r="M38" s="51">
        <v>2011</v>
      </c>
      <c r="N38" s="51">
        <v>2010</v>
      </c>
      <c r="O38" s="51"/>
      <c r="P38" s="51"/>
      <c r="Q38" s="51"/>
      <c r="R38" s="51"/>
      <c r="S38" s="51"/>
    </row>
    <row r="39" spans="1:19" s="3" customFormat="1" x14ac:dyDescent="0.2">
      <c r="A39" s="3" t="s">
        <v>86</v>
      </c>
      <c r="F39" s="58"/>
      <c r="G39" s="57">
        <v>6.19</v>
      </c>
      <c r="H39" s="6">
        <v>9670297</v>
      </c>
      <c r="I39" s="6">
        <v>8969704</v>
      </c>
      <c r="J39" s="99">
        <f t="shared" si="2"/>
        <v>4.5897953422375246E-3</v>
      </c>
      <c r="K39" s="93"/>
      <c r="L39" s="51"/>
      <c r="M39" s="76">
        <f>+(H18+H19)/H32</f>
        <v>0.92866084691567186</v>
      </c>
      <c r="N39" s="76">
        <f>+(I18+I19)/I32</f>
        <v>0.90276018178318362</v>
      </c>
      <c r="O39" s="51"/>
      <c r="P39" s="51"/>
      <c r="Q39" s="51"/>
      <c r="R39" s="51"/>
      <c r="S39" s="51"/>
    </row>
    <row r="40" spans="1:19" s="3" customFormat="1" x14ac:dyDescent="0.2">
      <c r="A40" s="3" t="s">
        <v>87</v>
      </c>
      <c r="F40" s="58"/>
      <c r="G40" s="57"/>
      <c r="H40" s="6">
        <v>34056955</v>
      </c>
      <c r="I40" s="6">
        <v>37405923</v>
      </c>
      <c r="J40" s="99">
        <f t="shared" si="2"/>
        <v>1.61643901350489E-2</v>
      </c>
      <c r="K40" s="93"/>
      <c r="Q40" s="51"/>
      <c r="R40" s="51"/>
      <c r="S40" s="51"/>
    </row>
    <row r="41" spans="1:19" s="3" customFormat="1" x14ac:dyDescent="0.2">
      <c r="C41" s="3" t="s">
        <v>88</v>
      </c>
      <c r="F41" s="58"/>
      <c r="G41" s="57"/>
      <c r="H41" s="63">
        <f>SUM(H32:H40)</f>
        <v>1862225946</v>
      </c>
      <c r="I41" s="63">
        <f>SUM(I32:I40)</f>
        <v>1718339816</v>
      </c>
      <c r="J41" s="99">
        <f t="shared" si="2"/>
        <v>0.88386488782554118</v>
      </c>
      <c r="K41" s="93"/>
      <c r="L41" s="51">
        <v>12</v>
      </c>
      <c r="M41" s="51" t="s">
        <v>129</v>
      </c>
      <c r="N41" s="51"/>
      <c r="O41" s="51"/>
      <c r="P41" s="51"/>
      <c r="Q41" s="51"/>
      <c r="R41" s="51"/>
      <c r="S41" s="51"/>
    </row>
    <row r="42" spans="1:19" s="3" customFormat="1" x14ac:dyDescent="0.2">
      <c r="A42" s="108"/>
      <c r="B42" s="108"/>
      <c r="C42" s="108"/>
      <c r="D42" s="108"/>
      <c r="E42" s="108"/>
      <c r="F42" s="58"/>
      <c r="G42" s="57"/>
      <c r="H42" s="18"/>
      <c r="I42" s="18"/>
      <c r="J42" s="97"/>
      <c r="K42" s="93"/>
      <c r="L42" s="51"/>
      <c r="M42" s="51">
        <v>2011</v>
      </c>
      <c r="N42" s="51">
        <v>2010</v>
      </c>
      <c r="O42" s="51"/>
      <c r="P42" s="51"/>
      <c r="Q42" s="51"/>
      <c r="R42" s="51"/>
      <c r="S42" s="51"/>
    </row>
    <row r="43" spans="1:19" s="3" customFormat="1" x14ac:dyDescent="0.2">
      <c r="A43" s="3" t="s">
        <v>89</v>
      </c>
      <c r="F43" s="58"/>
      <c r="G43" s="57"/>
      <c r="J43" s="97"/>
      <c r="K43" s="93"/>
      <c r="L43" s="51"/>
      <c r="M43" s="76">
        <f>+(H18+H19)/(H32+H37)</f>
        <v>0.86496511354349681</v>
      </c>
      <c r="N43" s="76">
        <f>+(I18+I19)/(I32+I37)</f>
        <v>0.82583794401216915</v>
      </c>
      <c r="O43" s="51"/>
      <c r="P43" s="51"/>
      <c r="Q43" s="51"/>
      <c r="R43" s="51"/>
      <c r="S43" s="51"/>
    </row>
    <row r="44" spans="1:19" s="3" customFormat="1" x14ac:dyDescent="0.2">
      <c r="A44" s="8" t="s">
        <v>90</v>
      </c>
      <c r="F44" s="58"/>
      <c r="G44" s="67">
        <v>6.21</v>
      </c>
      <c r="J44" s="16"/>
      <c r="K44" s="93"/>
      <c r="Q44" s="51"/>
      <c r="R44" s="51"/>
      <c r="S44" s="51"/>
    </row>
    <row r="45" spans="1:19" s="3" customFormat="1" x14ac:dyDescent="0.2">
      <c r="C45" s="3" t="s">
        <v>91</v>
      </c>
      <c r="F45" s="58"/>
      <c r="G45" s="57"/>
      <c r="H45" s="18"/>
      <c r="I45" s="18"/>
      <c r="J45" s="97"/>
      <c r="K45" s="93"/>
      <c r="L45" s="51">
        <v>13</v>
      </c>
      <c r="M45" s="51" t="s">
        <v>132</v>
      </c>
      <c r="N45" s="51"/>
      <c r="O45" s="51"/>
      <c r="P45" s="51"/>
      <c r="Q45" s="51"/>
      <c r="R45" s="51"/>
      <c r="S45" s="51"/>
    </row>
    <row r="46" spans="1:19" s="3" customFormat="1" ht="24" thickBot="1" x14ac:dyDescent="0.25">
      <c r="E46" s="69" t="s">
        <v>92</v>
      </c>
      <c r="F46" s="58"/>
      <c r="G46" s="57"/>
      <c r="H46" s="64">
        <v>16550</v>
      </c>
      <c r="I46" s="64">
        <v>16550</v>
      </c>
      <c r="J46" s="97"/>
      <c r="K46" s="93"/>
      <c r="L46" s="51"/>
      <c r="M46" s="79">
        <f>+(H8+H9+H10-H33-H34)/1000</f>
        <v>205540.98</v>
      </c>
      <c r="N46" s="51" t="s">
        <v>130</v>
      </c>
      <c r="O46" s="51"/>
      <c r="P46" s="51"/>
      <c r="Q46" s="51"/>
      <c r="R46" s="51"/>
      <c r="S46" s="51"/>
    </row>
    <row r="47" spans="1:19" s="3" customFormat="1" ht="24.75" thickTop="1" thickBot="1" x14ac:dyDescent="0.25">
      <c r="E47" s="69" t="s">
        <v>93</v>
      </c>
      <c r="F47" s="58"/>
      <c r="G47" s="57"/>
      <c r="H47" s="64">
        <v>39983450</v>
      </c>
      <c r="I47" s="64">
        <v>39983450</v>
      </c>
      <c r="J47" s="99" t="s">
        <v>78</v>
      </c>
      <c r="K47" s="93"/>
      <c r="L47" s="51"/>
      <c r="M47" s="79">
        <f>+(I8+I9+I10-I33-I34)/1000</f>
        <v>247498.427</v>
      </c>
      <c r="N47" s="51" t="s">
        <v>131</v>
      </c>
      <c r="O47" s="51"/>
      <c r="P47" s="51"/>
      <c r="Q47" s="51"/>
      <c r="R47" s="51"/>
      <c r="S47" s="51"/>
    </row>
    <row r="48" spans="1:19" s="3" customFormat="1" ht="24" thickTop="1" x14ac:dyDescent="0.2">
      <c r="C48" s="3" t="s">
        <v>94</v>
      </c>
      <c r="F48" s="58"/>
      <c r="G48" s="57"/>
      <c r="H48" s="18"/>
      <c r="I48" s="18"/>
      <c r="J48" s="97"/>
      <c r="K48" s="93"/>
      <c r="L48" s="51"/>
      <c r="M48" s="51"/>
      <c r="N48" s="51"/>
      <c r="O48" s="51"/>
      <c r="P48" s="51"/>
      <c r="Q48" s="51"/>
      <c r="R48" s="51"/>
      <c r="S48" s="51"/>
    </row>
    <row r="49" spans="1:19" s="3" customFormat="1" x14ac:dyDescent="0.2">
      <c r="E49" s="69" t="s">
        <v>95</v>
      </c>
      <c r="F49" s="58"/>
      <c r="G49" s="57"/>
      <c r="H49" s="18">
        <v>19088429</v>
      </c>
      <c r="I49" s="18">
        <v>19088429</v>
      </c>
      <c r="J49" s="99">
        <f t="shared" ref="J49:J51" si="3">+H49/H$28</f>
        <v>9.0599060726709521E-3</v>
      </c>
      <c r="K49" s="93"/>
      <c r="L49" s="51"/>
      <c r="M49" s="51"/>
      <c r="N49" s="51"/>
      <c r="O49" s="51"/>
      <c r="P49" s="51"/>
      <c r="Q49" s="51"/>
      <c r="R49" s="51"/>
      <c r="S49" s="51"/>
    </row>
    <row r="50" spans="1:19" s="3" customFormat="1" x14ac:dyDescent="0.2">
      <c r="A50" s="3" t="s">
        <v>96</v>
      </c>
      <c r="F50" s="58"/>
      <c r="G50" s="57"/>
      <c r="H50" s="6">
        <v>56346232</v>
      </c>
      <c r="I50" s="6">
        <v>56346232</v>
      </c>
      <c r="J50" s="99">
        <f t="shared" si="3"/>
        <v>2.6743508827726279E-2</v>
      </c>
      <c r="K50" s="93"/>
      <c r="L50" s="51"/>
      <c r="M50" s="51"/>
      <c r="N50" s="51"/>
      <c r="O50" s="51"/>
      <c r="P50" s="51"/>
      <c r="Q50" s="51"/>
      <c r="R50" s="51"/>
      <c r="S50" s="51"/>
    </row>
    <row r="51" spans="1:19" s="3" customFormat="1" x14ac:dyDescent="0.2">
      <c r="A51" s="3" t="s">
        <v>97</v>
      </c>
      <c r="F51" s="58"/>
      <c r="G51" s="57"/>
      <c r="H51" s="6">
        <v>42187602</v>
      </c>
      <c r="I51" s="6">
        <v>46425233</v>
      </c>
      <c r="J51" s="99">
        <f t="shared" si="3"/>
        <v>2.0023424219521951E-2</v>
      </c>
      <c r="K51" s="93"/>
      <c r="L51" s="51"/>
      <c r="M51" s="51"/>
      <c r="N51" s="51"/>
      <c r="O51" s="51"/>
      <c r="P51" s="51"/>
      <c r="Q51" s="51"/>
      <c r="R51" s="51"/>
      <c r="S51" s="51"/>
    </row>
    <row r="52" spans="1:19" s="3" customFormat="1" x14ac:dyDescent="0.2">
      <c r="A52" s="3" t="s">
        <v>98</v>
      </c>
      <c r="F52" s="58"/>
      <c r="G52" s="68"/>
      <c r="H52" s="6"/>
      <c r="I52" s="6"/>
      <c r="J52" s="97"/>
      <c r="K52" s="93"/>
      <c r="L52" s="51"/>
      <c r="M52" s="51"/>
      <c r="N52" s="51"/>
      <c r="O52" s="51"/>
      <c r="P52" s="51"/>
      <c r="Q52" s="51"/>
      <c r="R52" s="51"/>
      <c r="S52" s="51"/>
    </row>
    <row r="53" spans="1:19" s="3" customFormat="1" x14ac:dyDescent="0.2">
      <c r="C53" s="3" t="s">
        <v>99</v>
      </c>
      <c r="F53" s="58"/>
      <c r="G53" s="57" t="s">
        <v>107</v>
      </c>
      <c r="H53" s="6"/>
      <c r="I53" s="6"/>
      <c r="J53" s="97"/>
      <c r="K53" s="93"/>
      <c r="L53" s="51"/>
      <c r="M53" s="51"/>
      <c r="N53" s="51"/>
      <c r="O53" s="51"/>
      <c r="P53" s="51"/>
      <c r="Q53" s="51"/>
      <c r="R53" s="51"/>
      <c r="S53" s="51"/>
    </row>
    <row r="54" spans="1:19" s="3" customFormat="1" x14ac:dyDescent="0.2">
      <c r="E54" s="3" t="s">
        <v>100</v>
      </c>
      <c r="F54" s="58"/>
      <c r="H54" s="6">
        <v>16000000</v>
      </c>
      <c r="I54" s="6">
        <v>15000000</v>
      </c>
      <c r="J54" s="99">
        <f t="shared" ref="J54:J60" si="4">+H54/H$28</f>
        <v>7.5940506766028378E-3</v>
      </c>
      <c r="K54" s="93"/>
      <c r="L54" s="51"/>
      <c r="M54" s="51"/>
      <c r="N54" s="51"/>
      <c r="O54" s="51"/>
      <c r="P54" s="51"/>
      <c r="Q54" s="51"/>
      <c r="R54" s="51"/>
      <c r="S54" s="51"/>
    </row>
    <row r="55" spans="1:19" s="3" customFormat="1" x14ac:dyDescent="0.2">
      <c r="E55" s="3" t="s">
        <v>101</v>
      </c>
      <c r="F55" s="58"/>
      <c r="G55" s="57"/>
      <c r="H55" s="6">
        <v>66500000</v>
      </c>
      <c r="I55" s="6">
        <v>61500000</v>
      </c>
      <c r="J55" s="99">
        <f t="shared" si="4"/>
        <v>3.1562773124630544E-2</v>
      </c>
      <c r="K55" s="93"/>
      <c r="L55" s="51"/>
      <c r="M55" s="51"/>
      <c r="N55" s="51"/>
      <c r="O55" s="51"/>
      <c r="P55" s="51"/>
      <c r="Q55" s="51"/>
      <c r="R55" s="51"/>
      <c r="S55" s="51"/>
    </row>
    <row r="56" spans="1:19" s="3" customFormat="1" x14ac:dyDescent="0.2">
      <c r="C56" s="3" t="s">
        <v>102</v>
      </c>
      <c r="F56" s="58"/>
      <c r="G56" s="57"/>
      <c r="H56" s="65">
        <v>43692401</v>
      </c>
      <c r="I56" s="65">
        <v>32211781</v>
      </c>
      <c r="J56" s="99">
        <f t="shared" si="4"/>
        <v>2.0737644211028281E-2</v>
      </c>
      <c r="K56" s="93"/>
      <c r="L56" s="51"/>
      <c r="M56" s="51"/>
      <c r="N56" s="51"/>
      <c r="O56" s="51"/>
      <c r="P56" s="51"/>
      <c r="Q56" s="51"/>
      <c r="R56" s="51"/>
      <c r="S56" s="51"/>
    </row>
    <row r="57" spans="1:19" s="3" customFormat="1" x14ac:dyDescent="0.2">
      <c r="C57" s="3" t="s">
        <v>103</v>
      </c>
      <c r="F57" s="58"/>
      <c r="G57" s="57"/>
      <c r="H57" s="66">
        <f>SUM(H49:H51)+H54+H55+H56</f>
        <v>243814664</v>
      </c>
      <c r="I57" s="66">
        <f>SUM(I49:I51)+I54+I55+I56</f>
        <v>230571675</v>
      </c>
      <c r="J57" s="99">
        <f t="shared" si="4"/>
        <v>0.11572130713218085</v>
      </c>
      <c r="K57" s="93"/>
      <c r="L57" s="51"/>
      <c r="M57" s="51"/>
      <c r="N57" s="51"/>
      <c r="O57" s="51"/>
      <c r="P57" s="51"/>
      <c r="Q57" s="51"/>
      <c r="R57" s="51"/>
      <c r="S57" s="51"/>
    </row>
    <row r="58" spans="1:19" s="3" customFormat="1" x14ac:dyDescent="0.2">
      <c r="A58" s="3" t="s">
        <v>104</v>
      </c>
      <c r="F58" s="58"/>
      <c r="G58" s="57"/>
      <c r="H58" s="6">
        <v>871851</v>
      </c>
      <c r="I58" s="6">
        <v>776275</v>
      </c>
      <c r="J58" s="99">
        <f t="shared" si="4"/>
        <v>4.1380504227792877E-4</v>
      </c>
      <c r="K58" s="93"/>
      <c r="L58" s="51"/>
      <c r="M58" s="51"/>
      <c r="N58" s="51"/>
      <c r="O58" s="51"/>
      <c r="P58" s="51"/>
      <c r="Q58" s="51"/>
      <c r="R58" s="51"/>
      <c r="S58" s="51"/>
    </row>
    <row r="59" spans="1:19" s="3" customFormat="1" x14ac:dyDescent="0.2">
      <c r="C59" s="3" t="s">
        <v>105</v>
      </c>
      <c r="F59" s="58"/>
      <c r="G59" s="57"/>
      <c r="H59" s="63">
        <f>SUM(H57:H58)</f>
        <v>244686515</v>
      </c>
      <c r="I59" s="63">
        <f>SUM(I57:I58)</f>
        <v>231347950</v>
      </c>
      <c r="J59" s="99">
        <f t="shared" si="4"/>
        <v>0.11613511217445878</v>
      </c>
      <c r="K59" s="93"/>
      <c r="L59" s="51"/>
      <c r="M59" s="51"/>
      <c r="N59" s="51"/>
      <c r="O59" s="51"/>
      <c r="P59" s="51"/>
      <c r="Q59" s="51"/>
      <c r="R59" s="51"/>
      <c r="S59" s="51"/>
    </row>
    <row r="60" spans="1:19" s="3" customFormat="1" ht="24" thickBot="1" x14ac:dyDescent="0.25">
      <c r="A60" s="115" t="s">
        <v>106</v>
      </c>
      <c r="B60" s="115"/>
      <c r="C60" s="115"/>
      <c r="D60" s="115"/>
      <c r="E60" s="115"/>
      <c r="F60" s="58"/>
      <c r="G60" s="58"/>
      <c r="H60" s="64">
        <f>+H41+H59</f>
        <v>2106912461</v>
      </c>
      <c r="I60" s="64">
        <f>+I41+I59</f>
        <v>1949687766</v>
      </c>
      <c r="J60" s="99">
        <f t="shared" si="4"/>
        <v>1</v>
      </c>
      <c r="K60" s="93"/>
      <c r="L60" s="51"/>
      <c r="M60" s="51"/>
      <c r="N60" s="51"/>
      <c r="O60" s="51"/>
      <c r="P60" s="51"/>
      <c r="Q60" s="51"/>
      <c r="R60" s="51"/>
      <c r="S60" s="51"/>
    </row>
    <row r="61" spans="1:19" s="3" customFormat="1" ht="24" thickTop="1" x14ac:dyDescent="0.2">
      <c r="A61" s="57"/>
      <c r="B61" s="57"/>
      <c r="C61" s="57"/>
      <c r="D61" s="57"/>
      <c r="E61" s="57"/>
      <c r="F61" s="58"/>
      <c r="G61" s="18"/>
      <c r="H61" s="18"/>
      <c r="J61" s="97"/>
      <c r="K61" s="93"/>
      <c r="L61" s="51"/>
      <c r="M61" s="51"/>
      <c r="N61" s="51"/>
      <c r="O61" s="51"/>
      <c r="P61" s="51"/>
      <c r="Q61" s="51"/>
      <c r="R61" s="51"/>
      <c r="S61" s="51"/>
    </row>
    <row r="62" spans="1:19" s="3" customFormat="1" x14ac:dyDescent="0.2">
      <c r="A62" s="57"/>
      <c r="B62" s="57"/>
      <c r="C62" s="57"/>
      <c r="D62" s="57"/>
      <c r="E62" s="57"/>
      <c r="F62" s="58"/>
      <c r="G62" s="18"/>
      <c r="H62" s="18"/>
      <c r="J62" s="97"/>
      <c r="K62" s="93"/>
      <c r="L62" s="51"/>
      <c r="M62" s="51"/>
      <c r="N62" s="51"/>
      <c r="O62" s="51"/>
      <c r="P62" s="51"/>
      <c r="Q62" s="51"/>
      <c r="R62" s="51"/>
      <c r="S62" s="51"/>
    </row>
    <row r="63" spans="1:19" s="3" customFormat="1" x14ac:dyDescent="0.2">
      <c r="A63" s="112" t="s">
        <v>0</v>
      </c>
      <c r="B63" s="112"/>
      <c r="C63" s="112"/>
      <c r="D63" s="112"/>
      <c r="E63" s="112"/>
      <c r="F63" s="112"/>
      <c r="G63" s="112"/>
      <c r="H63" s="112"/>
      <c r="I63" s="112"/>
      <c r="J63" s="97"/>
      <c r="K63" s="93"/>
      <c r="L63" s="51"/>
      <c r="M63" s="51"/>
      <c r="N63" s="51"/>
      <c r="O63" s="51"/>
      <c r="P63" s="51"/>
      <c r="Q63" s="51"/>
      <c r="R63" s="51"/>
      <c r="S63" s="51"/>
    </row>
    <row r="64" spans="1:19" s="3" customFormat="1" x14ac:dyDescent="0.2">
      <c r="A64" s="112" t="s">
        <v>33</v>
      </c>
      <c r="B64" s="112"/>
      <c r="C64" s="112"/>
      <c r="D64" s="112"/>
      <c r="E64" s="112"/>
      <c r="F64" s="112"/>
      <c r="G64" s="112"/>
      <c r="H64" s="112"/>
      <c r="I64" s="112"/>
      <c r="J64" s="97"/>
      <c r="K64" s="93"/>
      <c r="L64" s="51"/>
      <c r="M64" s="51"/>
      <c r="N64" s="51"/>
      <c r="O64" s="51"/>
      <c r="P64" s="51"/>
      <c r="Q64" s="51"/>
      <c r="R64" s="51"/>
      <c r="S64" s="51"/>
    </row>
    <row r="65" spans="1:19" s="3" customFormat="1" x14ac:dyDescent="0.2">
      <c r="A65" s="116" t="s">
        <v>34</v>
      </c>
      <c r="B65" s="116"/>
      <c r="C65" s="116"/>
      <c r="D65" s="116"/>
      <c r="E65" s="116"/>
      <c r="F65" s="116"/>
      <c r="G65" s="116"/>
      <c r="H65" s="116"/>
      <c r="I65" s="116"/>
      <c r="J65" s="97"/>
      <c r="K65" s="93"/>
      <c r="L65" s="51"/>
      <c r="M65" s="51"/>
      <c r="N65" s="51"/>
      <c r="O65" s="51"/>
      <c r="P65" s="51"/>
      <c r="Q65" s="51"/>
      <c r="R65" s="51"/>
      <c r="S65" s="51"/>
    </row>
    <row r="66" spans="1:19" s="3" customFormat="1" x14ac:dyDescent="0.2">
      <c r="A66" s="117" t="s">
        <v>3</v>
      </c>
      <c r="B66" s="117"/>
      <c r="C66" s="117"/>
      <c r="D66" s="117"/>
      <c r="E66" s="117"/>
      <c r="F66" s="117"/>
      <c r="G66" s="117"/>
      <c r="H66" s="117"/>
      <c r="I66" s="117"/>
      <c r="J66" s="97"/>
      <c r="K66" s="93"/>
      <c r="L66" s="51"/>
      <c r="M66" s="51"/>
      <c r="N66" s="51"/>
      <c r="O66" s="51"/>
      <c r="P66" s="51"/>
      <c r="Q66" s="51"/>
      <c r="R66" s="51"/>
      <c r="S66" s="51"/>
    </row>
    <row r="67" spans="1:19" s="3" customFormat="1" x14ac:dyDescent="0.2">
      <c r="A67" s="118"/>
      <c r="B67" s="118"/>
      <c r="C67" s="118"/>
      <c r="D67" s="118"/>
      <c r="E67" s="118"/>
      <c r="F67" s="118"/>
      <c r="G67" s="118"/>
      <c r="H67" s="48" t="s">
        <v>4</v>
      </c>
      <c r="I67" s="4"/>
      <c r="J67" s="97"/>
      <c r="K67" s="93"/>
      <c r="L67" s="51"/>
      <c r="M67" s="51"/>
      <c r="N67" s="51"/>
      <c r="O67" s="51"/>
      <c r="P67" s="51"/>
      <c r="Q67" s="51"/>
      <c r="R67" s="51"/>
      <c r="S67" s="51"/>
    </row>
    <row r="68" spans="1:19" s="3" customFormat="1" x14ac:dyDescent="0.2">
      <c r="A68" s="111" t="s">
        <v>111</v>
      </c>
      <c r="B68" s="111"/>
      <c r="C68" s="111"/>
      <c r="D68" s="111"/>
      <c r="E68" s="111"/>
      <c r="F68" s="111"/>
      <c r="G68" s="4" t="s">
        <v>5</v>
      </c>
      <c r="H68" s="4">
        <v>2011</v>
      </c>
      <c r="I68" s="4">
        <v>2010</v>
      </c>
      <c r="J68" s="97"/>
      <c r="K68" s="93"/>
      <c r="L68" s="51"/>
      <c r="M68" s="51"/>
      <c r="N68" s="51"/>
      <c r="O68" s="51"/>
      <c r="P68" s="51"/>
      <c r="Q68" s="51"/>
      <c r="R68" s="51"/>
      <c r="S68" s="51"/>
    </row>
    <row r="69" spans="1:19" s="3" customFormat="1" x14ac:dyDescent="0.2">
      <c r="A69" s="85" t="s">
        <v>35</v>
      </c>
      <c r="B69" s="85"/>
      <c r="C69" s="85"/>
      <c r="D69" s="85"/>
      <c r="E69" s="85"/>
      <c r="F69" s="85"/>
      <c r="G69" s="86">
        <v>6.35</v>
      </c>
      <c r="H69" s="87">
        <v>81827175</v>
      </c>
      <c r="I69" s="87">
        <v>63662333</v>
      </c>
      <c r="J69" s="97"/>
      <c r="K69" s="93"/>
      <c r="L69" s="51"/>
      <c r="M69" s="51"/>
      <c r="N69" s="51"/>
      <c r="O69" s="51"/>
      <c r="P69" s="51"/>
      <c r="Q69" s="51"/>
      <c r="R69" s="51"/>
      <c r="S69" s="51"/>
    </row>
    <row r="70" spans="1:19" s="3" customFormat="1" x14ac:dyDescent="0.2">
      <c r="A70" s="85" t="s">
        <v>36</v>
      </c>
      <c r="B70" s="85"/>
      <c r="C70" s="85"/>
      <c r="D70" s="85"/>
      <c r="E70" s="85"/>
      <c r="F70" s="85"/>
      <c r="G70" s="86">
        <v>6.36</v>
      </c>
      <c r="H70" s="87">
        <v>29131271</v>
      </c>
      <c r="I70" s="87">
        <v>18043871</v>
      </c>
      <c r="J70" s="97"/>
      <c r="K70" s="93"/>
      <c r="L70" s="51"/>
      <c r="M70" s="51"/>
      <c r="N70" s="51"/>
      <c r="O70" s="51"/>
      <c r="P70" s="51"/>
      <c r="Q70" s="51"/>
      <c r="R70" s="51"/>
      <c r="S70" s="51"/>
    </row>
    <row r="71" spans="1:19" s="3" customFormat="1" x14ac:dyDescent="0.2">
      <c r="A71" s="82"/>
      <c r="B71" s="82"/>
      <c r="C71" s="82" t="s">
        <v>37</v>
      </c>
      <c r="D71" s="82"/>
      <c r="E71" s="82"/>
      <c r="F71" s="82"/>
      <c r="G71" s="83"/>
      <c r="H71" s="88">
        <f>+H69-H70</f>
        <v>52695904</v>
      </c>
      <c r="I71" s="88">
        <f>+I69-I70</f>
        <v>45618462</v>
      </c>
      <c r="J71" s="97"/>
      <c r="K71" s="93"/>
      <c r="L71" s="51"/>
      <c r="M71" s="51"/>
      <c r="N71" s="51"/>
      <c r="O71" s="51"/>
      <c r="P71" s="51"/>
      <c r="Q71" s="51"/>
      <c r="R71" s="51"/>
      <c r="S71" s="51"/>
    </row>
    <row r="72" spans="1:19" s="3" customFormat="1" x14ac:dyDescent="0.2">
      <c r="A72" s="30" t="s">
        <v>38</v>
      </c>
      <c r="B72" s="30"/>
      <c r="C72" s="30"/>
      <c r="D72" s="30"/>
      <c r="E72" s="30"/>
      <c r="F72" s="30"/>
      <c r="G72" s="33">
        <v>6.37</v>
      </c>
      <c r="H72" s="31">
        <v>23333546</v>
      </c>
      <c r="I72" s="31">
        <v>22028250</v>
      </c>
      <c r="J72" s="97"/>
      <c r="K72" s="93"/>
      <c r="L72" s="51"/>
      <c r="M72" s="51"/>
      <c r="N72" s="51"/>
      <c r="O72" s="51"/>
      <c r="P72" s="51"/>
      <c r="Q72" s="51"/>
      <c r="R72" s="51"/>
      <c r="S72" s="51"/>
    </row>
    <row r="73" spans="1:19" s="3" customFormat="1" x14ac:dyDescent="0.2">
      <c r="A73" s="30" t="s">
        <v>39</v>
      </c>
      <c r="B73" s="30"/>
      <c r="C73" s="30"/>
      <c r="D73" s="30"/>
      <c r="E73" s="30"/>
      <c r="F73" s="30"/>
      <c r="G73" s="33">
        <v>6.37</v>
      </c>
      <c r="H73" s="31">
        <v>5205560</v>
      </c>
      <c r="I73" s="31">
        <v>4743908</v>
      </c>
      <c r="J73" s="97"/>
      <c r="K73" s="93"/>
      <c r="L73" s="51"/>
      <c r="M73" s="51"/>
      <c r="N73" s="51"/>
      <c r="O73" s="51"/>
      <c r="P73" s="51"/>
      <c r="Q73" s="51"/>
      <c r="R73" s="51"/>
      <c r="S73" s="51"/>
    </row>
    <row r="74" spans="1:19" s="3" customFormat="1" x14ac:dyDescent="0.2">
      <c r="A74" s="82"/>
      <c r="B74" s="82"/>
      <c r="C74" s="82" t="s">
        <v>40</v>
      </c>
      <c r="D74" s="82"/>
      <c r="E74" s="82"/>
      <c r="F74" s="82"/>
      <c r="G74" s="82"/>
      <c r="H74" s="88">
        <f>+H72-H73</f>
        <v>18127986</v>
      </c>
      <c r="I74" s="88">
        <f>+I72-I73</f>
        <v>17284342</v>
      </c>
      <c r="J74" s="97"/>
      <c r="K74" s="93"/>
      <c r="L74" s="51"/>
      <c r="M74" s="51"/>
      <c r="N74" s="51"/>
      <c r="O74" s="51"/>
      <c r="P74" s="51"/>
      <c r="Q74" s="51"/>
      <c r="R74" s="51"/>
      <c r="S74" s="51"/>
    </row>
    <row r="75" spans="1:19" s="3" customFormat="1" x14ac:dyDescent="0.2">
      <c r="A75" s="82" t="s">
        <v>41</v>
      </c>
      <c r="B75" s="82"/>
      <c r="C75" s="82"/>
      <c r="D75" s="82"/>
      <c r="E75" s="82"/>
      <c r="F75" s="82"/>
      <c r="G75" s="89">
        <v>6.38</v>
      </c>
      <c r="H75" s="90">
        <v>4235607</v>
      </c>
      <c r="I75" s="90">
        <v>3740564</v>
      </c>
      <c r="J75" s="97"/>
      <c r="K75" s="93"/>
      <c r="L75" s="51"/>
      <c r="M75" s="51"/>
      <c r="N75" s="51"/>
      <c r="O75" s="51"/>
      <c r="P75" s="51"/>
      <c r="Q75" s="51"/>
      <c r="R75" s="51"/>
      <c r="S75" s="51"/>
    </row>
    <row r="76" spans="1:19" s="3" customFormat="1" x14ac:dyDescent="0.2">
      <c r="A76" s="82" t="s">
        <v>42</v>
      </c>
      <c r="B76" s="82"/>
      <c r="C76" s="82"/>
      <c r="D76" s="82"/>
      <c r="E76" s="82"/>
      <c r="F76" s="82"/>
      <c r="G76" s="89">
        <v>6.39</v>
      </c>
      <c r="H76" s="90">
        <v>1968378</v>
      </c>
      <c r="I76" s="90">
        <v>4223461</v>
      </c>
      <c r="J76" s="97"/>
      <c r="K76" s="93"/>
      <c r="L76" s="51"/>
      <c r="M76" s="51"/>
      <c r="N76" s="51"/>
      <c r="O76" s="51"/>
      <c r="P76" s="51"/>
      <c r="Q76" s="51"/>
      <c r="R76" s="51"/>
      <c r="S76" s="51"/>
    </row>
    <row r="77" spans="1:19" s="3" customFormat="1" x14ac:dyDescent="0.2">
      <c r="A77" s="82" t="s">
        <v>43</v>
      </c>
      <c r="B77" s="82"/>
      <c r="C77" s="82"/>
      <c r="D77" s="82"/>
      <c r="E77" s="82"/>
      <c r="F77" s="82"/>
      <c r="G77" s="82"/>
      <c r="H77" s="84">
        <v>86187</v>
      </c>
      <c r="I77" s="84">
        <v>91109</v>
      </c>
      <c r="J77" s="97"/>
      <c r="K77" s="93"/>
      <c r="L77" s="51"/>
      <c r="M77" s="51"/>
      <c r="N77" s="51"/>
      <c r="O77" s="51"/>
      <c r="P77" s="51"/>
      <c r="Q77" s="51"/>
      <c r="R77" s="51"/>
      <c r="S77" s="51"/>
    </row>
    <row r="78" spans="1:19" s="3" customFormat="1" x14ac:dyDescent="0.2">
      <c r="A78" s="82" t="s">
        <v>44</v>
      </c>
      <c r="B78" s="82"/>
      <c r="C78" s="82"/>
      <c r="D78" s="82"/>
      <c r="E78" s="82"/>
      <c r="F78" s="82"/>
      <c r="G78" s="82"/>
      <c r="H78" s="84">
        <v>1214836</v>
      </c>
      <c r="I78" s="84">
        <v>2384019</v>
      </c>
      <c r="J78" s="97"/>
      <c r="K78" s="93"/>
      <c r="L78" s="51"/>
      <c r="M78" s="51"/>
      <c r="N78" s="51"/>
      <c r="O78" s="51"/>
      <c r="P78" s="51"/>
      <c r="Q78" s="51"/>
      <c r="R78" s="51"/>
      <c r="S78" s="51"/>
    </row>
    <row r="79" spans="1:19" s="3" customFormat="1" x14ac:dyDescent="0.2">
      <c r="A79" s="82" t="s">
        <v>45</v>
      </c>
      <c r="B79" s="82"/>
      <c r="C79" s="82"/>
      <c r="D79" s="82"/>
      <c r="E79" s="82"/>
      <c r="F79" s="82"/>
      <c r="G79" s="82"/>
      <c r="H79" s="84">
        <v>2727759</v>
      </c>
      <c r="I79" s="84">
        <v>1835672</v>
      </c>
      <c r="J79" s="97"/>
      <c r="K79" s="93"/>
      <c r="L79" s="51"/>
      <c r="M79" s="51"/>
      <c r="N79" s="51"/>
      <c r="O79" s="51"/>
      <c r="P79" s="51"/>
      <c r="Q79" s="51"/>
      <c r="R79" s="51"/>
      <c r="S79" s="51"/>
    </row>
    <row r="80" spans="1:19" s="3" customFormat="1" x14ac:dyDescent="0.2">
      <c r="A80" s="82" t="s">
        <v>46</v>
      </c>
      <c r="B80" s="82"/>
      <c r="C80" s="82"/>
      <c r="D80" s="82"/>
      <c r="E80" s="82"/>
      <c r="F80" s="82"/>
      <c r="G80" s="82"/>
      <c r="H80" s="84">
        <v>1177368</v>
      </c>
      <c r="I80" s="84">
        <v>699388</v>
      </c>
      <c r="J80" s="97"/>
      <c r="K80" s="93"/>
      <c r="L80" s="51"/>
      <c r="M80" s="51"/>
      <c r="N80" s="51"/>
      <c r="O80" s="51"/>
      <c r="P80" s="51"/>
      <c r="Q80" s="51"/>
      <c r="R80" s="51"/>
      <c r="S80" s="51"/>
    </row>
    <row r="81" spans="1:19" s="3" customFormat="1" x14ac:dyDescent="0.2">
      <c r="A81" s="100"/>
      <c r="B81" s="100"/>
      <c r="C81" s="100" t="s">
        <v>47</v>
      </c>
      <c r="D81" s="100"/>
      <c r="E81" s="100"/>
      <c r="F81" s="100"/>
      <c r="G81" s="100"/>
      <c r="H81" s="101">
        <f>SUM(H75:H80)+H74+H71</f>
        <v>82234025</v>
      </c>
      <c r="I81" s="101">
        <f>SUM(I75:I80)+I74+I71</f>
        <v>75877017</v>
      </c>
      <c r="J81" s="97"/>
      <c r="K81" s="93"/>
      <c r="L81" s="51"/>
      <c r="M81" s="51"/>
      <c r="N81" s="51"/>
      <c r="O81" s="51"/>
      <c r="P81" s="51"/>
      <c r="Q81" s="51"/>
      <c r="R81" s="51"/>
      <c r="S81" s="51"/>
    </row>
    <row r="82" spans="1:19" s="3" customFormat="1" x14ac:dyDescent="0.2">
      <c r="A82" s="30" t="s">
        <v>48</v>
      </c>
      <c r="B82" s="30"/>
      <c r="C82" s="30"/>
      <c r="D82" s="30"/>
      <c r="E82" s="30"/>
      <c r="F82" s="30"/>
      <c r="G82" s="30"/>
      <c r="H82" s="77" t="s">
        <v>78</v>
      </c>
      <c r="I82" s="31"/>
      <c r="J82" s="97"/>
      <c r="K82" s="93"/>
      <c r="L82" s="51"/>
      <c r="M82" s="51"/>
      <c r="N82" s="51"/>
      <c r="O82" s="51"/>
      <c r="P82" s="51"/>
      <c r="Q82" s="51"/>
      <c r="R82" s="51"/>
      <c r="S82" s="51"/>
    </row>
    <row r="83" spans="1:19" s="3" customFormat="1" x14ac:dyDescent="0.2">
      <c r="A83" s="30"/>
      <c r="B83" s="30"/>
      <c r="C83" s="30" t="s">
        <v>49</v>
      </c>
      <c r="D83" s="30"/>
      <c r="E83" s="30"/>
      <c r="F83" s="30"/>
      <c r="G83" s="30"/>
      <c r="H83" s="31">
        <v>18015629</v>
      </c>
      <c r="I83" s="31">
        <v>16160237</v>
      </c>
      <c r="J83" s="97"/>
      <c r="K83" s="93"/>
      <c r="L83" s="51"/>
      <c r="M83" s="51"/>
      <c r="N83" s="51"/>
      <c r="O83" s="51"/>
      <c r="P83" s="51"/>
      <c r="Q83" s="51"/>
      <c r="R83" s="51"/>
      <c r="S83" s="51"/>
    </row>
    <row r="84" spans="1:19" s="3" customFormat="1" x14ac:dyDescent="0.2">
      <c r="A84" s="30"/>
      <c r="B84" s="30"/>
      <c r="C84" s="30" t="s">
        <v>50</v>
      </c>
      <c r="D84" s="30"/>
      <c r="E84" s="30"/>
      <c r="F84" s="30"/>
      <c r="G84" s="30"/>
      <c r="H84" s="31">
        <v>117156</v>
      </c>
      <c r="I84" s="31">
        <v>123255</v>
      </c>
      <c r="J84" s="97"/>
      <c r="K84" s="93"/>
      <c r="L84" s="51"/>
      <c r="M84" s="51"/>
      <c r="N84" s="51"/>
      <c r="O84" s="51"/>
      <c r="P84" s="51"/>
      <c r="Q84" s="51"/>
      <c r="R84" s="51"/>
      <c r="S84" s="51"/>
    </row>
    <row r="85" spans="1:19" s="3" customFormat="1" x14ac:dyDescent="0.2">
      <c r="A85" s="30"/>
      <c r="B85" s="30"/>
      <c r="C85" s="30" t="s">
        <v>51</v>
      </c>
      <c r="D85" s="30"/>
      <c r="E85" s="30"/>
      <c r="F85" s="30"/>
      <c r="G85" s="30"/>
      <c r="H85" s="31">
        <v>8055385</v>
      </c>
      <c r="I85" s="31">
        <v>8200611</v>
      </c>
      <c r="J85" s="97"/>
      <c r="K85" s="93"/>
      <c r="L85" s="51"/>
      <c r="M85" s="51"/>
      <c r="N85" s="51"/>
      <c r="O85" s="51"/>
      <c r="P85" s="51"/>
      <c r="Q85" s="51"/>
      <c r="R85" s="51"/>
      <c r="S85" s="51"/>
    </row>
    <row r="86" spans="1:19" s="3" customFormat="1" x14ac:dyDescent="0.2">
      <c r="A86" s="30"/>
      <c r="B86" s="30"/>
      <c r="C86" s="30" t="s">
        <v>52</v>
      </c>
      <c r="D86" s="30"/>
      <c r="E86" s="30"/>
      <c r="F86" s="30"/>
      <c r="G86" s="30"/>
      <c r="H86" s="31">
        <v>3160796</v>
      </c>
      <c r="I86" s="31">
        <v>2679108</v>
      </c>
      <c r="J86" s="97"/>
      <c r="K86" s="93"/>
      <c r="L86" s="51"/>
      <c r="M86" s="51"/>
      <c r="N86" s="51"/>
      <c r="O86" s="51"/>
      <c r="P86" s="51"/>
      <c r="Q86" s="51"/>
      <c r="R86" s="51"/>
      <c r="S86" s="51"/>
    </row>
    <row r="87" spans="1:19" s="3" customFormat="1" x14ac:dyDescent="0.2">
      <c r="A87" s="30"/>
      <c r="B87" s="30"/>
      <c r="C87" s="30" t="s">
        <v>53</v>
      </c>
      <c r="D87" s="30"/>
      <c r="E87" s="30"/>
      <c r="F87" s="30"/>
      <c r="G87" s="30"/>
      <c r="H87" s="31">
        <v>6710058</v>
      </c>
      <c r="I87" s="31">
        <v>4833442</v>
      </c>
      <c r="J87" s="97"/>
      <c r="K87" s="93"/>
      <c r="L87" s="51"/>
      <c r="M87" s="51"/>
      <c r="N87" s="51"/>
      <c r="O87" s="51"/>
      <c r="P87" s="51"/>
      <c r="Q87" s="51"/>
      <c r="R87" s="51"/>
      <c r="S87" s="51"/>
    </row>
    <row r="88" spans="1:19" s="3" customFormat="1" x14ac:dyDescent="0.2">
      <c r="A88" s="30"/>
      <c r="B88" s="30"/>
      <c r="C88" s="30"/>
      <c r="D88" s="30"/>
      <c r="E88" s="55" t="s">
        <v>54</v>
      </c>
      <c r="F88" s="30"/>
      <c r="G88" s="30"/>
      <c r="H88" s="32">
        <f>SUM(H83:H87)</f>
        <v>36059024</v>
      </c>
      <c r="I88" s="32">
        <f>SUM(I83:I87)</f>
        <v>31996653</v>
      </c>
      <c r="J88" s="97"/>
      <c r="K88" s="93"/>
      <c r="L88" s="51"/>
      <c r="M88" s="51"/>
      <c r="N88" s="51"/>
      <c r="O88" s="51"/>
      <c r="P88" s="51"/>
      <c r="Q88" s="51"/>
      <c r="R88" s="51"/>
      <c r="S88" s="51"/>
    </row>
    <row r="89" spans="1:19" s="3" customFormat="1" x14ac:dyDescent="0.2">
      <c r="A89" s="30" t="s">
        <v>55</v>
      </c>
      <c r="B89" s="30"/>
      <c r="C89" s="30"/>
      <c r="D89" s="30"/>
      <c r="E89" s="30"/>
      <c r="F89" s="30"/>
      <c r="G89" s="33">
        <v>6.4</v>
      </c>
      <c r="H89" s="32">
        <v>12027416</v>
      </c>
      <c r="I89" s="32">
        <v>7567653</v>
      </c>
      <c r="J89" s="97"/>
      <c r="K89" s="93"/>
      <c r="L89" s="51"/>
      <c r="M89" s="51"/>
      <c r="N89" s="51"/>
      <c r="O89" s="51"/>
      <c r="P89" s="51"/>
      <c r="Q89" s="51"/>
      <c r="R89" s="51"/>
      <c r="S89" s="51"/>
    </row>
    <row r="90" spans="1:19" s="3" customFormat="1" x14ac:dyDescent="0.2">
      <c r="A90" s="30" t="s">
        <v>56</v>
      </c>
      <c r="B90" s="30"/>
      <c r="C90" s="30"/>
      <c r="D90" s="30"/>
      <c r="E90" s="30"/>
      <c r="F90" s="30"/>
      <c r="G90" s="30"/>
      <c r="H90" s="34">
        <f>+H81-H88-H89</f>
        <v>34147585</v>
      </c>
      <c r="I90" s="34">
        <f>+I81-I88-I89</f>
        <v>36312711</v>
      </c>
      <c r="J90" s="97"/>
      <c r="K90" s="93"/>
      <c r="L90" s="51"/>
      <c r="M90" s="51"/>
      <c r="N90" s="51"/>
      <c r="O90" s="51"/>
      <c r="P90" s="51"/>
      <c r="Q90" s="51"/>
      <c r="R90" s="51"/>
      <c r="S90" s="51"/>
    </row>
    <row r="91" spans="1:19" s="3" customFormat="1" x14ac:dyDescent="0.2">
      <c r="A91" s="30" t="s">
        <v>57</v>
      </c>
      <c r="B91" s="30"/>
      <c r="C91" s="30"/>
      <c r="D91" s="30"/>
      <c r="E91" s="30"/>
      <c r="F91" s="30"/>
      <c r="G91" s="33"/>
      <c r="H91" s="35">
        <v>6496624</v>
      </c>
      <c r="I91" s="35">
        <v>11504752</v>
      </c>
      <c r="J91" s="97"/>
      <c r="K91" s="93"/>
      <c r="L91" s="51"/>
      <c r="M91" s="51"/>
      <c r="N91" s="51"/>
      <c r="O91" s="51"/>
      <c r="P91" s="51"/>
      <c r="Q91" s="51"/>
      <c r="R91" s="51"/>
      <c r="S91" s="51"/>
    </row>
    <row r="92" spans="1:19" s="3" customFormat="1" x14ac:dyDescent="0.2">
      <c r="A92" s="30" t="s">
        <v>58</v>
      </c>
      <c r="B92" s="30"/>
      <c r="C92" s="30"/>
      <c r="D92" s="30"/>
      <c r="E92" s="30"/>
      <c r="F92" s="30"/>
      <c r="G92" s="30"/>
      <c r="H92" s="32">
        <f>+H90-H91</f>
        <v>27650961</v>
      </c>
      <c r="I92" s="32">
        <f>+I90-I91</f>
        <v>24807959</v>
      </c>
      <c r="J92" s="97"/>
      <c r="K92" s="93"/>
      <c r="L92" s="51"/>
      <c r="M92" s="51"/>
      <c r="N92" s="51"/>
      <c r="O92" s="51"/>
      <c r="P92" s="51"/>
      <c r="Q92" s="51"/>
      <c r="R92" s="51"/>
      <c r="S92" s="51"/>
    </row>
    <row r="93" spans="1:19" s="3" customFormat="1" x14ac:dyDescent="0.2">
      <c r="A93" s="30" t="s">
        <v>59</v>
      </c>
      <c r="B93" s="30"/>
      <c r="C93" s="30"/>
      <c r="D93" s="30"/>
      <c r="E93" s="30"/>
      <c r="F93" s="30"/>
      <c r="G93" s="30"/>
      <c r="H93" s="34"/>
      <c r="I93" s="34"/>
      <c r="J93" s="97"/>
      <c r="K93" s="93"/>
      <c r="L93" s="51"/>
      <c r="M93" s="51"/>
      <c r="N93" s="51"/>
      <c r="O93" s="51"/>
      <c r="P93" s="51"/>
      <c r="Q93" s="51"/>
      <c r="R93" s="51"/>
      <c r="S93" s="51"/>
    </row>
    <row r="94" spans="1:19" s="3" customFormat="1" x14ac:dyDescent="0.2">
      <c r="A94" s="30"/>
      <c r="B94" s="30"/>
      <c r="C94" s="30" t="s">
        <v>60</v>
      </c>
      <c r="D94" s="30"/>
      <c r="E94" s="30"/>
      <c r="F94" s="30"/>
      <c r="G94" s="30"/>
      <c r="H94" s="36">
        <v>0</v>
      </c>
      <c r="I94" s="36">
        <v>9089187</v>
      </c>
      <c r="J94" s="97"/>
      <c r="K94" s="93"/>
      <c r="L94" s="51"/>
      <c r="M94" s="51"/>
      <c r="N94" s="51"/>
      <c r="O94" s="51"/>
      <c r="P94" s="51"/>
      <c r="Q94" s="51"/>
      <c r="R94" s="51"/>
      <c r="S94" s="51"/>
    </row>
    <row r="95" spans="1:19" s="3" customFormat="1" x14ac:dyDescent="0.2">
      <c r="A95" s="37"/>
      <c r="B95" s="30"/>
      <c r="C95" s="30" t="s">
        <v>61</v>
      </c>
      <c r="D95" s="30"/>
      <c r="E95" s="30"/>
      <c r="F95" s="30"/>
      <c r="G95" s="38"/>
      <c r="H95" s="38">
        <v>-5903065</v>
      </c>
      <c r="I95" s="31">
        <v>14466066</v>
      </c>
      <c r="J95" s="97"/>
      <c r="K95" s="93"/>
      <c r="L95" s="51"/>
      <c r="M95" s="51"/>
      <c r="N95" s="51"/>
      <c r="O95" s="51"/>
      <c r="P95" s="51"/>
      <c r="Q95" s="51"/>
      <c r="R95" s="51"/>
      <c r="S95" s="51"/>
    </row>
    <row r="96" spans="1:19" s="3" customFormat="1" x14ac:dyDescent="0.2">
      <c r="A96" s="37"/>
      <c r="B96" s="30"/>
      <c r="C96" s="30" t="s">
        <v>62</v>
      </c>
      <c r="D96" s="30"/>
      <c r="E96" s="30"/>
      <c r="F96" s="30"/>
      <c r="G96" s="49"/>
      <c r="H96" s="34">
        <v>2792515</v>
      </c>
      <c r="I96" s="36">
        <v>-1982929</v>
      </c>
      <c r="J96" s="97"/>
      <c r="K96" s="93"/>
      <c r="L96" s="51"/>
      <c r="M96" s="51"/>
      <c r="N96" s="51"/>
      <c r="O96" s="51"/>
      <c r="P96" s="51"/>
      <c r="Q96" s="51"/>
      <c r="R96" s="51"/>
      <c r="S96" s="51"/>
    </row>
    <row r="97" spans="1:19" s="3" customFormat="1" x14ac:dyDescent="0.2">
      <c r="A97" s="37"/>
      <c r="B97" s="30"/>
      <c r="C97" s="30" t="s">
        <v>63</v>
      </c>
      <c r="D97" s="30"/>
      <c r="E97" s="30"/>
      <c r="F97" s="30"/>
      <c r="G97" s="30"/>
      <c r="H97" s="39">
        <v>-489246</v>
      </c>
      <c r="I97" s="36">
        <v>0</v>
      </c>
      <c r="J97" s="97"/>
      <c r="K97" s="93"/>
      <c r="L97" s="51"/>
      <c r="M97" s="51"/>
      <c r="N97" s="51"/>
      <c r="O97" s="51"/>
      <c r="P97" s="51"/>
      <c r="Q97" s="51"/>
      <c r="R97" s="51"/>
      <c r="S97" s="51"/>
    </row>
    <row r="98" spans="1:19" s="3" customFormat="1" x14ac:dyDescent="0.2">
      <c r="A98" s="37"/>
      <c r="B98" s="30"/>
      <c r="C98" s="30"/>
      <c r="D98" s="30"/>
      <c r="E98" s="49" t="s">
        <v>64</v>
      </c>
      <c r="F98" s="30"/>
      <c r="G98" s="49"/>
      <c r="H98" s="38">
        <f>SUM(H94:H97)</f>
        <v>-3599796</v>
      </c>
      <c r="I98" s="32">
        <f>SUM(I94:I97)</f>
        <v>21572324</v>
      </c>
      <c r="J98" s="97"/>
      <c r="K98" s="93"/>
      <c r="L98" s="51"/>
      <c r="M98" s="51"/>
      <c r="N98" s="51"/>
      <c r="O98" s="51"/>
      <c r="P98" s="51"/>
      <c r="Q98" s="51"/>
      <c r="R98" s="51"/>
      <c r="S98" s="51"/>
    </row>
    <row r="99" spans="1:19" s="3" customFormat="1" ht="24" thickBot="1" x14ac:dyDescent="0.25">
      <c r="A99" s="37" t="s">
        <v>65</v>
      </c>
      <c r="B99" s="30"/>
      <c r="C99" s="30"/>
      <c r="D99" s="30"/>
      <c r="E99" s="30"/>
      <c r="F99" s="30"/>
      <c r="G99" s="30"/>
      <c r="H99" s="40">
        <f>H92+H98</f>
        <v>24051165</v>
      </c>
      <c r="I99" s="40">
        <f>I92+I98</f>
        <v>46380283</v>
      </c>
      <c r="J99" s="97"/>
      <c r="K99" s="93"/>
      <c r="L99" s="51"/>
      <c r="M99" s="51"/>
      <c r="N99" s="51"/>
      <c r="O99" s="51"/>
      <c r="P99" s="51"/>
      <c r="Q99" s="51"/>
      <c r="R99" s="51"/>
      <c r="S99" s="51"/>
    </row>
    <row r="100" spans="1:19" s="3" customFormat="1" ht="24" thickTop="1" x14ac:dyDescent="0.2">
      <c r="A100" s="37"/>
      <c r="B100" s="30"/>
      <c r="C100" s="30"/>
      <c r="D100" s="30"/>
      <c r="E100" s="30"/>
      <c r="F100" s="30"/>
      <c r="G100" s="30"/>
      <c r="H100" s="34"/>
      <c r="I100" s="34"/>
      <c r="J100" s="97"/>
      <c r="K100" s="93"/>
      <c r="L100" s="51"/>
      <c r="M100" s="51"/>
      <c r="N100" s="51"/>
      <c r="O100" s="51"/>
      <c r="P100" s="51"/>
      <c r="Q100" s="51"/>
      <c r="R100" s="51"/>
      <c r="S100" s="51"/>
    </row>
    <row r="101" spans="1:19" s="3" customFormat="1" x14ac:dyDescent="0.2">
      <c r="A101" s="37" t="s">
        <v>66</v>
      </c>
      <c r="B101" s="30"/>
      <c r="C101" s="30"/>
      <c r="D101" s="30"/>
      <c r="E101" s="30"/>
      <c r="F101" s="30"/>
      <c r="G101" s="30"/>
      <c r="H101" s="34"/>
      <c r="I101" s="38"/>
      <c r="J101" s="97"/>
      <c r="K101" s="93"/>
      <c r="L101" s="51"/>
      <c r="M101" s="51"/>
      <c r="N101" s="51"/>
      <c r="O101" s="51"/>
      <c r="P101" s="51"/>
      <c r="Q101" s="51"/>
      <c r="R101" s="51"/>
      <c r="S101" s="51"/>
    </row>
    <row r="102" spans="1:19" s="3" customFormat="1" x14ac:dyDescent="0.2">
      <c r="A102" s="30"/>
      <c r="B102" s="30"/>
      <c r="C102" s="41" t="s">
        <v>67</v>
      </c>
      <c r="D102" s="30"/>
      <c r="E102" s="30"/>
      <c r="F102" s="30"/>
      <c r="G102" s="30"/>
      <c r="H102" s="34">
        <f>H92-H103</f>
        <v>27337639</v>
      </c>
      <c r="I102" s="34">
        <v>24593421</v>
      </c>
      <c r="J102" s="97"/>
      <c r="K102" s="93"/>
      <c r="L102" s="51"/>
      <c r="M102" s="51"/>
      <c r="N102" s="51"/>
      <c r="O102" s="51"/>
      <c r="P102" s="51"/>
      <c r="Q102" s="51"/>
      <c r="R102" s="51"/>
      <c r="S102" s="51"/>
    </row>
    <row r="103" spans="1:19" s="3" customFormat="1" x14ac:dyDescent="0.2">
      <c r="A103" s="30"/>
      <c r="B103" s="30"/>
      <c r="C103" s="41" t="s">
        <v>68</v>
      </c>
      <c r="D103" s="30"/>
      <c r="E103" s="30"/>
      <c r="F103" s="30"/>
      <c r="G103" s="30"/>
      <c r="H103" s="31">
        <v>313322</v>
      </c>
      <c r="I103" s="31">
        <v>214538</v>
      </c>
      <c r="J103" s="97"/>
      <c r="K103" s="93"/>
      <c r="L103" s="51"/>
      <c r="M103" s="51"/>
      <c r="N103" s="51"/>
      <c r="O103" s="51"/>
      <c r="P103" s="51"/>
      <c r="Q103" s="51"/>
      <c r="R103" s="51"/>
      <c r="S103" s="51"/>
    </row>
    <row r="104" spans="1:19" s="3" customFormat="1" ht="24" thickBot="1" x14ac:dyDescent="0.25">
      <c r="A104" s="112"/>
      <c r="B104" s="112"/>
      <c r="C104" s="112"/>
      <c r="D104" s="112"/>
      <c r="E104" s="112"/>
      <c r="F104" s="112"/>
      <c r="G104" s="30"/>
      <c r="H104" s="40">
        <f>SUM(H102:H103)</f>
        <v>27650961</v>
      </c>
      <c r="I104" s="40">
        <f>SUM(I102:I103)</f>
        <v>24807959</v>
      </c>
      <c r="J104" s="97"/>
      <c r="K104" s="93"/>
      <c r="L104" s="51"/>
      <c r="M104" s="51"/>
      <c r="N104" s="51"/>
      <c r="O104" s="51"/>
      <c r="P104" s="51"/>
      <c r="Q104" s="51"/>
      <c r="R104" s="51"/>
      <c r="S104" s="51"/>
    </row>
    <row r="105" spans="1:19" s="3" customFormat="1" ht="24" thickTop="1" x14ac:dyDescent="0.2">
      <c r="A105" s="4"/>
      <c r="B105" s="4"/>
      <c r="C105" s="4"/>
      <c r="D105" s="4"/>
      <c r="E105" s="4"/>
      <c r="F105" s="4"/>
      <c r="G105" s="30"/>
      <c r="H105" s="34"/>
      <c r="I105" s="34"/>
      <c r="J105" s="97"/>
      <c r="K105" s="93"/>
      <c r="L105" s="51"/>
      <c r="M105" s="51"/>
      <c r="N105" s="51"/>
      <c r="O105" s="51"/>
      <c r="P105" s="51"/>
      <c r="Q105" s="51"/>
      <c r="R105" s="51"/>
      <c r="S105" s="51"/>
    </row>
    <row r="106" spans="1:19" s="3" customFormat="1" x14ac:dyDescent="0.2">
      <c r="A106" s="37" t="s">
        <v>69</v>
      </c>
      <c r="B106" s="30"/>
      <c r="C106" s="30"/>
      <c r="D106" s="30"/>
      <c r="E106" s="30"/>
      <c r="F106" s="30"/>
      <c r="G106" s="30"/>
      <c r="H106" s="34"/>
      <c r="I106" s="34"/>
      <c r="J106" s="97"/>
      <c r="K106" s="93"/>
      <c r="L106" s="51"/>
      <c r="M106" s="51"/>
      <c r="N106" s="51"/>
      <c r="O106" s="51"/>
      <c r="P106" s="51"/>
      <c r="Q106" s="51"/>
      <c r="R106" s="51"/>
      <c r="S106" s="51"/>
    </row>
    <row r="107" spans="1:19" s="3" customFormat="1" x14ac:dyDescent="0.2">
      <c r="A107" s="30"/>
      <c r="B107" s="30"/>
      <c r="C107" s="41" t="s">
        <v>67</v>
      </c>
      <c r="D107" s="30"/>
      <c r="E107" s="30"/>
      <c r="F107" s="30"/>
      <c r="G107" s="30"/>
      <c r="H107" s="34">
        <f>H99-H108</f>
        <v>23741625</v>
      </c>
      <c r="I107" s="34">
        <v>46162161</v>
      </c>
      <c r="J107" s="97"/>
      <c r="K107" s="93"/>
      <c r="L107" s="51"/>
      <c r="M107" s="51"/>
      <c r="N107" s="51"/>
      <c r="O107" s="51"/>
      <c r="P107" s="51"/>
      <c r="Q107" s="51"/>
      <c r="R107" s="51"/>
      <c r="S107" s="51"/>
    </row>
    <row r="108" spans="1:19" s="3" customFormat="1" x14ac:dyDescent="0.2">
      <c r="A108" s="30"/>
      <c r="B108" s="30"/>
      <c r="C108" s="41" t="s">
        <v>68</v>
      </c>
      <c r="D108" s="30"/>
      <c r="E108" s="30"/>
      <c r="F108" s="30"/>
      <c r="G108" s="30"/>
      <c r="H108" s="31">
        <v>309540</v>
      </c>
      <c r="I108" s="31">
        <v>218122</v>
      </c>
      <c r="J108" s="97"/>
      <c r="K108" s="93"/>
      <c r="L108" s="51"/>
      <c r="M108" s="51"/>
      <c r="N108" s="51"/>
      <c r="O108" s="51"/>
      <c r="P108" s="51"/>
      <c r="Q108" s="51"/>
      <c r="R108" s="51"/>
      <c r="S108" s="51"/>
    </row>
    <row r="109" spans="1:19" s="3" customFormat="1" ht="24" thickBot="1" x14ac:dyDescent="0.25">
      <c r="A109" s="112"/>
      <c r="B109" s="112"/>
      <c r="C109" s="112"/>
      <c r="D109" s="112"/>
      <c r="E109" s="112"/>
      <c r="F109" s="112"/>
      <c r="G109" s="30"/>
      <c r="H109" s="40">
        <f>SUM(H107:H108)</f>
        <v>24051165</v>
      </c>
      <c r="I109" s="40">
        <f>SUM(I107:I108)</f>
        <v>46380283</v>
      </c>
      <c r="J109" s="97"/>
      <c r="K109" s="93"/>
      <c r="L109" s="51"/>
      <c r="M109" s="51"/>
      <c r="N109" s="51"/>
      <c r="O109" s="51"/>
      <c r="P109" s="51"/>
      <c r="Q109" s="51"/>
      <c r="R109" s="51"/>
      <c r="S109" s="51"/>
    </row>
    <row r="110" spans="1:19" s="3" customFormat="1" ht="24" thickTop="1" x14ac:dyDescent="0.2">
      <c r="A110" s="4"/>
      <c r="B110" s="4"/>
      <c r="C110" s="4"/>
      <c r="D110" s="4"/>
      <c r="E110" s="4"/>
      <c r="F110" s="4"/>
      <c r="G110" s="30"/>
      <c r="H110" s="42"/>
      <c r="I110" s="34"/>
      <c r="J110" s="97"/>
      <c r="K110" s="93"/>
      <c r="L110" s="51"/>
      <c r="M110" s="51"/>
      <c r="N110" s="51"/>
      <c r="O110" s="51"/>
      <c r="P110" s="51"/>
      <c r="Q110" s="51"/>
      <c r="R110" s="51"/>
      <c r="S110" s="51"/>
    </row>
    <row r="111" spans="1:19" s="3" customFormat="1" ht="24" thickBot="1" x14ac:dyDescent="0.25">
      <c r="A111" s="37" t="s">
        <v>70</v>
      </c>
      <c r="B111" s="30"/>
      <c r="C111" s="30"/>
      <c r="D111" s="30"/>
      <c r="E111" s="30"/>
      <c r="F111" s="30"/>
      <c r="G111" s="12">
        <v>3.18</v>
      </c>
      <c r="H111" s="43">
        <f>+H102/H113</f>
        <v>14.32157542553264</v>
      </c>
      <c r="I111" s="43">
        <f>+I102/I113</f>
        <v>12.883941214652017</v>
      </c>
      <c r="J111" s="97"/>
      <c r="K111" s="93"/>
      <c r="L111" s="51"/>
      <c r="M111" s="51"/>
      <c r="N111" s="51"/>
      <c r="O111" s="51"/>
      <c r="P111" s="51"/>
      <c r="Q111" s="51"/>
      <c r="R111" s="51"/>
      <c r="S111" s="51"/>
    </row>
    <row r="112" spans="1:19" s="3" customFormat="1" ht="24" thickTop="1" x14ac:dyDescent="0.2">
      <c r="A112" s="37" t="s">
        <v>71</v>
      </c>
      <c r="B112" s="30"/>
      <c r="C112" s="30"/>
      <c r="D112" s="30"/>
      <c r="E112" s="30"/>
      <c r="F112" s="30"/>
      <c r="G112" s="30"/>
      <c r="H112" s="31"/>
      <c r="I112" s="31"/>
      <c r="J112" s="97"/>
      <c r="K112" s="93"/>
      <c r="L112" s="51"/>
      <c r="M112" s="51"/>
      <c r="N112" s="51"/>
      <c r="O112" s="51"/>
      <c r="P112" s="51"/>
      <c r="Q112" s="51"/>
      <c r="R112" s="51"/>
      <c r="S112" s="51"/>
    </row>
    <row r="113" spans="1:19" s="3" customFormat="1" ht="24" thickBot="1" x14ac:dyDescent="0.25">
      <c r="A113" s="30"/>
      <c r="B113" s="37" t="s">
        <v>72</v>
      </c>
      <c r="C113" s="30"/>
      <c r="D113" s="30"/>
      <c r="E113" s="30"/>
      <c r="F113" s="30"/>
      <c r="G113" s="44"/>
      <c r="H113" s="45">
        <v>1908843</v>
      </c>
      <c r="I113" s="45">
        <v>1908843</v>
      </c>
      <c r="J113" s="97"/>
      <c r="K113" s="93"/>
      <c r="L113" s="51"/>
      <c r="M113" s="51"/>
      <c r="N113" s="51"/>
      <c r="O113" s="51"/>
      <c r="P113" s="51"/>
      <c r="Q113" s="51"/>
      <c r="R113" s="51"/>
      <c r="S113" s="51"/>
    </row>
    <row r="114" spans="1:19" s="3" customFormat="1" ht="24" thickTop="1" x14ac:dyDescent="0.2">
      <c r="A114" s="111"/>
      <c r="B114" s="111"/>
      <c r="C114" s="111"/>
      <c r="D114" s="111"/>
      <c r="E114" s="111"/>
      <c r="F114" s="111"/>
      <c r="G114" s="44"/>
      <c r="H114" s="34"/>
      <c r="I114" s="34"/>
      <c r="J114" s="97"/>
      <c r="K114" s="93"/>
      <c r="L114" s="51"/>
      <c r="M114" s="51"/>
      <c r="N114" s="51"/>
      <c r="O114" s="51"/>
      <c r="P114" s="51"/>
      <c r="Q114" s="51"/>
      <c r="R114" s="51"/>
      <c r="S114" s="51"/>
    </row>
    <row r="115" spans="1:19" s="3" customFormat="1" x14ac:dyDescent="0.2">
      <c r="A115" s="111"/>
      <c r="B115" s="111"/>
      <c r="C115" s="111"/>
      <c r="D115" s="111"/>
      <c r="E115" s="111"/>
      <c r="F115" s="111"/>
      <c r="G115" s="44"/>
      <c r="H115" s="34"/>
      <c r="I115" s="31"/>
      <c r="J115" s="97"/>
      <c r="K115" s="93"/>
      <c r="L115" s="51"/>
      <c r="M115" s="51"/>
      <c r="N115" s="51"/>
      <c r="O115" s="51"/>
      <c r="P115" s="51"/>
      <c r="Q115" s="51"/>
      <c r="R115" s="51"/>
      <c r="S115" s="51"/>
    </row>
    <row r="116" spans="1:19" s="3" customFormat="1" x14ac:dyDescent="0.2">
      <c r="A116" s="111"/>
      <c r="B116" s="111"/>
      <c r="C116" s="111"/>
      <c r="D116" s="111"/>
      <c r="E116" s="111"/>
      <c r="F116" s="111"/>
      <c r="G116" s="44"/>
      <c r="H116" s="34"/>
      <c r="I116" s="31"/>
      <c r="J116" s="97"/>
      <c r="K116" s="93"/>
      <c r="L116" s="51"/>
      <c r="M116" s="51"/>
      <c r="N116" s="51"/>
      <c r="O116" s="51"/>
      <c r="P116" s="51"/>
      <c r="Q116" s="51"/>
      <c r="R116" s="51"/>
      <c r="S116" s="51"/>
    </row>
    <row r="117" spans="1:19" s="3" customFormat="1" x14ac:dyDescent="0.2">
      <c r="A117" s="111"/>
      <c r="B117" s="111"/>
      <c r="C117" s="111"/>
      <c r="D117" s="111"/>
      <c r="E117" s="111"/>
      <c r="F117" s="111"/>
      <c r="G117" s="44"/>
      <c r="H117" s="34"/>
      <c r="I117" s="31"/>
      <c r="J117" s="97"/>
      <c r="K117" s="93"/>
      <c r="L117" s="51"/>
      <c r="M117" s="51"/>
      <c r="N117" s="51"/>
      <c r="O117" s="51"/>
      <c r="P117" s="51"/>
      <c r="Q117" s="51"/>
      <c r="R117" s="51"/>
      <c r="S117" s="51"/>
    </row>
    <row r="118" spans="1:19" s="3" customFormat="1" x14ac:dyDescent="0.2">
      <c r="A118" s="111"/>
      <c r="B118" s="111"/>
      <c r="C118" s="111"/>
      <c r="D118" s="111"/>
      <c r="E118" s="111"/>
      <c r="F118" s="111"/>
      <c r="G118" s="44"/>
      <c r="H118" s="34"/>
      <c r="I118" s="31"/>
      <c r="J118" s="97"/>
      <c r="K118" s="93"/>
      <c r="L118" s="51"/>
      <c r="M118" s="51"/>
      <c r="N118" s="51"/>
      <c r="O118" s="51"/>
      <c r="P118" s="51"/>
      <c r="Q118" s="51"/>
      <c r="R118" s="51"/>
      <c r="S118" s="51"/>
    </row>
    <row r="119" spans="1:19" s="3" customFormat="1" x14ac:dyDescent="0.2">
      <c r="A119" s="111"/>
      <c r="B119" s="111"/>
      <c r="C119" s="111"/>
      <c r="D119" s="111"/>
      <c r="E119" s="111"/>
      <c r="F119" s="111"/>
      <c r="G119" s="44"/>
      <c r="H119" s="34"/>
      <c r="I119" s="31"/>
      <c r="J119" s="97"/>
      <c r="K119" s="93"/>
      <c r="L119" s="51"/>
      <c r="M119" s="51"/>
      <c r="N119" s="51"/>
      <c r="O119" s="51"/>
      <c r="P119" s="51"/>
      <c r="Q119" s="51"/>
      <c r="R119" s="51"/>
      <c r="S119" s="51"/>
    </row>
    <row r="120" spans="1:19" s="3" customFormat="1" x14ac:dyDescent="0.2">
      <c r="A120" s="111"/>
      <c r="B120" s="111"/>
      <c r="C120" s="111"/>
      <c r="D120" s="111"/>
      <c r="E120" s="111"/>
      <c r="F120" s="111"/>
      <c r="G120" s="44"/>
      <c r="H120" s="34"/>
      <c r="I120" s="31"/>
      <c r="J120" s="97"/>
      <c r="K120" s="93"/>
      <c r="L120" s="51"/>
      <c r="M120" s="51"/>
      <c r="N120" s="51"/>
      <c r="O120" s="51"/>
      <c r="P120" s="51"/>
      <c r="Q120" s="51"/>
      <c r="R120" s="51"/>
      <c r="S120" s="51"/>
    </row>
    <row r="121" spans="1:19" s="3" customFormat="1" x14ac:dyDescent="0.2">
      <c r="A121" s="19" t="s">
        <v>28</v>
      </c>
      <c r="B121" s="30"/>
      <c r="C121" s="30"/>
      <c r="D121" s="30"/>
      <c r="E121" s="30"/>
      <c r="F121" s="30"/>
      <c r="G121" s="30"/>
      <c r="H121" s="30"/>
      <c r="I121" s="30"/>
      <c r="J121" s="97"/>
      <c r="K121" s="93"/>
      <c r="L121" s="51"/>
      <c r="M121" s="51"/>
      <c r="N121" s="51"/>
      <c r="O121" s="51"/>
      <c r="P121" s="51"/>
      <c r="Q121" s="51"/>
      <c r="R121" s="51"/>
      <c r="S121" s="51"/>
    </row>
    <row r="122" spans="1:19" s="3" customFormat="1" x14ac:dyDescent="0.2">
      <c r="A122" s="112"/>
      <c r="B122" s="112"/>
      <c r="C122" s="112"/>
      <c r="D122" s="112"/>
      <c r="E122" s="112"/>
      <c r="F122" s="112"/>
      <c r="G122" s="112"/>
      <c r="H122" s="30"/>
      <c r="I122" s="30"/>
      <c r="J122" s="97"/>
      <c r="K122" s="93"/>
      <c r="L122" s="51"/>
      <c r="M122" s="51"/>
      <c r="N122" s="51"/>
      <c r="O122" s="51"/>
      <c r="P122" s="51"/>
      <c r="Q122" s="51"/>
      <c r="R122" s="51"/>
      <c r="S122" s="51"/>
    </row>
    <row r="123" spans="1:19" s="3" customFormat="1" x14ac:dyDescent="0.2">
      <c r="A123" s="113"/>
      <c r="B123" s="113"/>
      <c r="C123" s="113"/>
      <c r="D123" s="113"/>
      <c r="E123" s="113"/>
      <c r="F123" s="113"/>
      <c r="G123" s="113"/>
      <c r="H123" s="30"/>
      <c r="I123" s="30"/>
      <c r="J123" s="97"/>
      <c r="K123" s="93"/>
      <c r="L123" s="51"/>
      <c r="M123" s="51"/>
      <c r="N123" s="51"/>
      <c r="O123" s="51"/>
      <c r="P123" s="51"/>
      <c r="Q123" s="51"/>
      <c r="R123" s="51"/>
      <c r="S123" s="51"/>
    </row>
    <row r="124" spans="1:19" s="3" customFormat="1" x14ac:dyDescent="0.2">
      <c r="A124" s="112"/>
      <c r="B124" s="112"/>
      <c r="C124" s="112"/>
      <c r="D124" s="112"/>
      <c r="E124" s="112"/>
      <c r="F124" s="112"/>
      <c r="G124" s="112"/>
      <c r="H124" s="30"/>
      <c r="I124" s="30"/>
      <c r="J124" s="97"/>
      <c r="K124" s="93"/>
      <c r="L124" s="51"/>
      <c r="M124" s="51"/>
      <c r="N124" s="51"/>
      <c r="O124" s="51"/>
      <c r="P124" s="51"/>
      <c r="Q124" s="51"/>
      <c r="R124" s="51"/>
      <c r="S124" s="51"/>
    </row>
    <row r="125" spans="1:19" s="3" customFormat="1" x14ac:dyDescent="0.2">
      <c r="A125" s="114" t="s">
        <v>73</v>
      </c>
      <c r="B125" s="114"/>
      <c r="C125" s="114"/>
      <c r="D125" s="114"/>
      <c r="E125" s="114"/>
      <c r="F125" s="114"/>
      <c r="G125" s="30"/>
      <c r="H125" s="30"/>
      <c r="I125" s="30"/>
      <c r="J125" s="97"/>
      <c r="K125" s="93"/>
      <c r="L125" s="51"/>
      <c r="M125" s="51"/>
      <c r="N125" s="51"/>
      <c r="O125" s="51"/>
      <c r="P125" s="51"/>
      <c r="Q125" s="51"/>
      <c r="R125" s="51"/>
      <c r="S125" s="51"/>
    </row>
    <row r="126" spans="1:19" s="3" customFormat="1" x14ac:dyDescent="0.2">
      <c r="A126" s="111" t="s">
        <v>74</v>
      </c>
      <c r="B126" s="111"/>
      <c r="C126" s="111"/>
      <c r="D126" s="111"/>
      <c r="E126" s="111"/>
      <c r="F126" s="111"/>
      <c r="G126" s="30"/>
      <c r="H126" s="30"/>
      <c r="I126" s="30"/>
      <c r="J126" s="97"/>
      <c r="K126" s="93"/>
      <c r="L126" s="51"/>
      <c r="M126" s="51"/>
      <c r="N126" s="51"/>
      <c r="O126" s="51"/>
      <c r="P126" s="51"/>
      <c r="Q126" s="51"/>
      <c r="R126" s="51"/>
      <c r="S126" s="51"/>
    </row>
    <row r="127" spans="1:19" s="3" customFormat="1" x14ac:dyDescent="0.2">
      <c r="A127" s="108" t="s">
        <v>29</v>
      </c>
      <c r="B127" s="108"/>
      <c r="C127" s="108"/>
      <c r="D127" s="108"/>
      <c r="E127" s="108"/>
      <c r="F127" s="108"/>
      <c r="G127" s="108"/>
      <c r="J127" s="97"/>
      <c r="K127" s="93"/>
      <c r="L127" s="51"/>
      <c r="M127" s="51"/>
      <c r="N127" s="51"/>
      <c r="O127" s="51"/>
      <c r="P127" s="51"/>
      <c r="Q127" s="51"/>
      <c r="R127" s="51"/>
      <c r="S127" s="51"/>
    </row>
    <row r="128" spans="1:19" s="21" customFormat="1" ht="24" x14ac:dyDescent="0.55000000000000004">
      <c r="A128" s="110"/>
      <c r="B128" s="110"/>
      <c r="C128" s="110"/>
      <c r="D128" s="110"/>
      <c r="E128" s="110"/>
      <c r="F128" s="20"/>
      <c r="J128" s="98"/>
      <c r="K128" s="94"/>
      <c r="L128" s="53"/>
      <c r="M128" s="53"/>
      <c r="N128" s="53"/>
      <c r="O128" s="53"/>
      <c r="P128" s="53"/>
      <c r="Q128" s="53"/>
      <c r="R128" s="53"/>
      <c r="S128" s="53"/>
    </row>
    <row r="129" spans="1:19" s="21" customFormat="1" ht="24" x14ac:dyDescent="0.55000000000000004">
      <c r="A129" s="110"/>
      <c r="B129" s="110"/>
      <c r="C129" s="110"/>
      <c r="D129" s="110"/>
      <c r="E129" s="110"/>
      <c r="F129" s="20"/>
      <c r="J129" s="98"/>
      <c r="K129" s="94"/>
      <c r="L129" s="53"/>
      <c r="M129" s="53"/>
      <c r="N129" s="53"/>
      <c r="O129" s="53"/>
      <c r="P129" s="53"/>
      <c r="Q129" s="53"/>
      <c r="R129" s="53"/>
      <c r="S129" s="53"/>
    </row>
    <row r="130" spans="1:19" s="21" customFormat="1" ht="24" x14ac:dyDescent="0.55000000000000004">
      <c r="A130" s="110"/>
      <c r="B130" s="110"/>
      <c r="C130" s="110"/>
      <c r="D130" s="110"/>
      <c r="E130" s="110"/>
      <c r="F130" s="20"/>
      <c r="J130" s="98"/>
      <c r="K130" s="94"/>
      <c r="L130" s="53"/>
      <c r="M130" s="53"/>
      <c r="N130" s="53"/>
      <c r="O130" s="53"/>
      <c r="P130" s="53"/>
      <c r="Q130" s="53"/>
      <c r="R130" s="53"/>
      <c r="S130" s="53"/>
    </row>
    <row r="131" spans="1:19" s="21" customFormat="1" ht="24" x14ac:dyDescent="0.55000000000000004">
      <c r="A131" s="20"/>
      <c r="F131" s="20"/>
      <c r="J131" s="98"/>
      <c r="K131" s="94"/>
      <c r="L131" s="53"/>
      <c r="M131" s="53"/>
      <c r="N131" s="53"/>
      <c r="O131" s="53"/>
      <c r="P131" s="53"/>
      <c r="Q131" s="53"/>
      <c r="R131" s="53"/>
      <c r="S131" s="53"/>
    </row>
    <row r="132" spans="1:19" s="21" customFormat="1" ht="24" x14ac:dyDescent="0.55000000000000004">
      <c r="A132" s="20"/>
      <c r="F132" s="20"/>
      <c r="J132" s="98"/>
      <c r="K132" s="94"/>
      <c r="L132" s="53"/>
      <c r="M132" s="53"/>
      <c r="N132" s="53"/>
      <c r="O132" s="53"/>
      <c r="P132" s="53"/>
      <c r="Q132" s="53"/>
      <c r="R132" s="53"/>
      <c r="S132" s="53"/>
    </row>
    <row r="133" spans="1:19" s="21" customFormat="1" ht="24" x14ac:dyDescent="0.55000000000000004">
      <c r="A133" s="20"/>
      <c r="F133" s="20"/>
      <c r="J133" s="98"/>
      <c r="K133" s="94"/>
      <c r="L133" s="53"/>
      <c r="M133" s="53"/>
      <c r="N133" s="53"/>
      <c r="O133" s="53"/>
      <c r="P133" s="53"/>
      <c r="Q133" s="53"/>
      <c r="R133" s="53"/>
      <c r="S133" s="53"/>
    </row>
    <row r="134" spans="1:19" s="21" customFormat="1" ht="24" x14ac:dyDescent="0.55000000000000004">
      <c r="A134" s="20"/>
      <c r="F134" s="20"/>
      <c r="J134" s="98"/>
      <c r="K134" s="94"/>
      <c r="L134" s="53"/>
      <c r="M134" s="53"/>
      <c r="N134" s="53"/>
      <c r="O134" s="53"/>
      <c r="P134" s="53"/>
      <c r="Q134" s="53"/>
      <c r="R134" s="53"/>
      <c r="S134" s="53"/>
    </row>
    <row r="135" spans="1:19" s="21" customFormat="1" ht="24" x14ac:dyDescent="0.55000000000000004">
      <c r="F135" s="20"/>
      <c r="J135" s="98"/>
      <c r="K135" s="94"/>
      <c r="L135" s="53"/>
      <c r="M135" s="53"/>
      <c r="N135" s="53"/>
      <c r="O135" s="53"/>
      <c r="P135" s="53"/>
      <c r="Q135" s="53"/>
      <c r="R135" s="53"/>
      <c r="S135" s="53"/>
    </row>
    <row r="136" spans="1:19" s="21" customFormat="1" ht="24" x14ac:dyDescent="0.55000000000000004">
      <c r="F136" s="20"/>
      <c r="J136" s="98"/>
      <c r="K136" s="94"/>
      <c r="L136" s="53"/>
      <c r="M136" s="53"/>
      <c r="N136" s="53"/>
      <c r="O136" s="53"/>
      <c r="P136" s="53"/>
      <c r="Q136" s="53"/>
      <c r="R136" s="53"/>
      <c r="S136" s="53"/>
    </row>
    <row r="137" spans="1:19" s="21" customFormat="1" ht="24" x14ac:dyDescent="0.55000000000000004">
      <c r="F137" s="20"/>
      <c r="J137" s="98"/>
      <c r="K137" s="94"/>
      <c r="L137" s="53"/>
      <c r="M137" s="53"/>
      <c r="N137" s="53"/>
      <c r="O137" s="53"/>
      <c r="P137" s="53"/>
      <c r="Q137" s="53"/>
      <c r="R137" s="53"/>
      <c r="S137" s="53"/>
    </row>
    <row r="138" spans="1:19" s="21" customFormat="1" ht="24" x14ac:dyDescent="0.55000000000000004">
      <c r="F138" s="20"/>
      <c r="J138" s="98"/>
      <c r="K138" s="94"/>
      <c r="L138" s="53"/>
      <c r="M138" s="53"/>
      <c r="N138" s="53"/>
      <c r="O138" s="53"/>
      <c r="P138" s="53"/>
      <c r="Q138" s="53"/>
      <c r="R138" s="53"/>
      <c r="S138" s="53"/>
    </row>
    <row r="139" spans="1:19" s="21" customFormat="1" ht="24" x14ac:dyDescent="0.55000000000000004">
      <c r="F139" s="20"/>
      <c r="J139" s="98"/>
      <c r="K139" s="94"/>
      <c r="L139" s="53"/>
      <c r="M139" s="53"/>
      <c r="N139" s="53"/>
      <c r="O139" s="53"/>
      <c r="P139" s="53"/>
      <c r="Q139" s="53"/>
      <c r="R139" s="53"/>
      <c r="S139" s="53"/>
    </row>
    <row r="140" spans="1:19" s="21" customFormat="1" ht="24" x14ac:dyDescent="0.55000000000000004">
      <c r="F140" s="20"/>
      <c r="J140" s="98"/>
      <c r="K140" s="94"/>
      <c r="L140" s="53"/>
      <c r="M140" s="53"/>
      <c r="N140" s="53"/>
      <c r="O140" s="53"/>
      <c r="P140" s="53"/>
      <c r="Q140" s="53"/>
      <c r="R140" s="53"/>
      <c r="S140" s="53"/>
    </row>
    <row r="141" spans="1:19" s="21" customFormat="1" ht="24" x14ac:dyDescent="0.55000000000000004">
      <c r="F141" s="20"/>
      <c r="J141" s="98"/>
      <c r="K141" s="94"/>
      <c r="L141" s="53"/>
      <c r="M141" s="53"/>
      <c r="N141" s="53"/>
      <c r="O141" s="53"/>
      <c r="P141" s="53"/>
      <c r="Q141" s="53"/>
      <c r="R141" s="53"/>
      <c r="S141" s="53"/>
    </row>
    <row r="142" spans="1:19" s="21" customFormat="1" ht="24" x14ac:dyDescent="0.55000000000000004">
      <c r="F142" s="20"/>
      <c r="J142" s="98"/>
      <c r="K142" s="94"/>
      <c r="L142" s="53"/>
      <c r="M142" s="53"/>
      <c r="N142" s="53"/>
      <c r="O142" s="53"/>
      <c r="P142" s="53"/>
      <c r="Q142" s="53"/>
      <c r="R142" s="53"/>
      <c r="S142" s="53"/>
    </row>
    <row r="143" spans="1:19" s="21" customFormat="1" ht="24" x14ac:dyDescent="0.55000000000000004">
      <c r="F143" s="20"/>
      <c r="J143" s="98"/>
      <c r="K143" s="94"/>
      <c r="L143" s="53"/>
      <c r="M143" s="53"/>
      <c r="N143" s="53"/>
      <c r="O143" s="53"/>
      <c r="P143" s="53"/>
      <c r="Q143" s="53"/>
      <c r="R143" s="53"/>
      <c r="S143" s="53"/>
    </row>
    <row r="144" spans="1:19" s="21" customFormat="1" ht="24" x14ac:dyDescent="0.55000000000000004">
      <c r="F144" s="20"/>
      <c r="J144" s="98"/>
      <c r="K144" s="94"/>
      <c r="L144" s="53"/>
      <c r="M144" s="53"/>
      <c r="N144" s="53"/>
      <c r="O144" s="53"/>
      <c r="P144" s="53"/>
      <c r="Q144" s="53"/>
      <c r="R144" s="53"/>
      <c r="S144" s="53"/>
    </row>
    <row r="145" spans="6:19" s="21" customFormat="1" ht="24" x14ac:dyDescent="0.55000000000000004">
      <c r="F145" s="20"/>
      <c r="J145" s="98"/>
      <c r="K145" s="94"/>
      <c r="L145" s="53"/>
      <c r="M145" s="53"/>
      <c r="N145" s="53"/>
      <c r="O145" s="53"/>
      <c r="P145" s="53"/>
      <c r="Q145" s="53"/>
      <c r="R145" s="53"/>
      <c r="S145" s="53"/>
    </row>
    <row r="146" spans="6:19" s="21" customFormat="1" ht="24" x14ac:dyDescent="0.55000000000000004">
      <c r="F146" s="20"/>
      <c r="J146" s="98"/>
      <c r="K146" s="94"/>
      <c r="L146" s="53"/>
      <c r="M146" s="53"/>
      <c r="N146" s="53"/>
      <c r="O146" s="53"/>
      <c r="P146" s="53"/>
      <c r="Q146" s="53"/>
      <c r="R146" s="53"/>
      <c r="S146" s="53"/>
    </row>
    <row r="147" spans="6:19" s="21" customFormat="1" ht="24" x14ac:dyDescent="0.55000000000000004">
      <c r="F147" s="20"/>
      <c r="J147" s="98"/>
      <c r="K147" s="94"/>
      <c r="L147" s="53"/>
      <c r="M147" s="53"/>
      <c r="N147" s="53"/>
      <c r="O147" s="53"/>
      <c r="P147" s="53"/>
      <c r="Q147" s="53"/>
      <c r="R147" s="53"/>
      <c r="S147" s="53"/>
    </row>
    <row r="148" spans="6:19" s="21" customFormat="1" ht="24" x14ac:dyDescent="0.55000000000000004">
      <c r="F148" s="20"/>
      <c r="J148" s="98"/>
      <c r="K148" s="94"/>
      <c r="L148" s="53"/>
      <c r="M148" s="53"/>
      <c r="N148" s="53"/>
      <c r="O148" s="53"/>
      <c r="P148" s="53"/>
      <c r="Q148" s="53"/>
      <c r="R148" s="53"/>
      <c r="S148" s="53"/>
    </row>
    <row r="149" spans="6:19" s="21" customFormat="1" ht="24" x14ac:dyDescent="0.55000000000000004">
      <c r="F149" s="20"/>
      <c r="J149" s="98"/>
      <c r="K149" s="94"/>
      <c r="L149" s="53"/>
      <c r="M149" s="53"/>
      <c r="N149" s="53"/>
      <c r="O149" s="53"/>
      <c r="P149" s="53"/>
      <c r="Q149" s="53"/>
      <c r="R149" s="53"/>
      <c r="S149" s="53"/>
    </row>
    <row r="150" spans="6:19" s="21" customFormat="1" ht="24" x14ac:dyDescent="0.55000000000000004">
      <c r="F150" s="20"/>
      <c r="J150" s="98"/>
      <c r="K150" s="94"/>
      <c r="L150" s="53"/>
      <c r="M150" s="53"/>
      <c r="N150" s="53"/>
      <c r="O150" s="53"/>
      <c r="P150" s="53"/>
      <c r="Q150" s="53"/>
      <c r="R150" s="53"/>
      <c r="S150" s="53"/>
    </row>
    <row r="151" spans="6:19" s="21" customFormat="1" ht="24" x14ac:dyDescent="0.55000000000000004">
      <c r="F151" s="20"/>
      <c r="J151" s="98"/>
      <c r="K151" s="94"/>
      <c r="L151" s="53"/>
      <c r="M151" s="53"/>
      <c r="N151" s="53"/>
      <c r="O151" s="53"/>
      <c r="P151" s="53"/>
      <c r="Q151" s="53"/>
      <c r="R151" s="53"/>
      <c r="S151" s="53"/>
    </row>
    <row r="152" spans="6:19" s="21" customFormat="1" ht="24" x14ac:dyDescent="0.55000000000000004">
      <c r="F152" s="20"/>
      <c r="J152" s="98"/>
      <c r="K152" s="94"/>
      <c r="L152" s="53"/>
      <c r="M152" s="53"/>
      <c r="N152" s="53"/>
      <c r="O152" s="53"/>
      <c r="P152" s="53"/>
      <c r="Q152" s="53"/>
      <c r="R152" s="53"/>
      <c r="S152" s="53"/>
    </row>
    <row r="153" spans="6:19" s="21" customFormat="1" ht="24" x14ac:dyDescent="0.55000000000000004">
      <c r="F153" s="20"/>
      <c r="J153" s="98"/>
      <c r="K153" s="94"/>
      <c r="L153" s="53"/>
      <c r="M153" s="53"/>
      <c r="N153" s="53"/>
      <c r="O153" s="53"/>
      <c r="P153" s="53"/>
      <c r="Q153" s="53"/>
      <c r="R153" s="53"/>
      <c r="S153" s="53"/>
    </row>
    <row r="154" spans="6:19" s="21" customFormat="1" ht="24" x14ac:dyDescent="0.55000000000000004">
      <c r="F154" s="20"/>
      <c r="J154" s="98"/>
      <c r="K154" s="94"/>
      <c r="L154" s="53"/>
      <c r="M154" s="53"/>
      <c r="N154" s="53"/>
      <c r="O154" s="53"/>
      <c r="P154" s="53"/>
      <c r="Q154" s="53"/>
      <c r="R154" s="53"/>
      <c r="S154" s="53"/>
    </row>
    <row r="155" spans="6:19" s="21" customFormat="1" ht="24" x14ac:dyDescent="0.55000000000000004">
      <c r="F155" s="20"/>
      <c r="J155" s="98"/>
      <c r="K155" s="94"/>
      <c r="L155" s="53"/>
      <c r="M155" s="53"/>
      <c r="N155" s="53"/>
      <c r="O155" s="53"/>
      <c r="P155" s="53"/>
      <c r="Q155" s="53"/>
      <c r="R155" s="53"/>
      <c r="S155" s="53"/>
    </row>
    <row r="156" spans="6:19" s="21" customFormat="1" ht="24" x14ac:dyDescent="0.55000000000000004">
      <c r="F156" s="20"/>
      <c r="J156" s="98"/>
      <c r="K156" s="94"/>
      <c r="L156" s="53"/>
      <c r="M156" s="53"/>
      <c r="N156" s="53"/>
      <c r="O156" s="53"/>
      <c r="P156" s="53"/>
      <c r="Q156" s="53"/>
      <c r="R156" s="53"/>
      <c r="S156" s="53"/>
    </row>
    <row r="157" spans="6:19" s="21" customFormat="1" ht="24" x14ac:dyDescent="0.55000000000000004">
      <c r="F157" s="20"/>
      <c r="J157" s="98"/>
      <c r="K157" s="94"/>
      <c r="L157" s="53"/>
      <c r="M157" s="53"/>
      <c r="N157" s="53"/>
      <c r="O157" s="53"/>
      <c r="P157" s="53"/>
      <c r="Q157" s="53"/>
      <c r="R157" s="53"/>
      <c r="S157" s="53"/>
    </row>
    <row r="158" spans="6:19" s="21" customFormat="1" ht="24" x14ac:dyDescent="0.55000000000000004">
      <c r="F158" s="20"/>
      <c r="J158" s="98"/>
      <c r="K158" s="94"/>
      <c r="L158" s="53"/>
      <c r="M158" s="53"/>
      <c r="N158" s="53"/>
      <c r="O158" s="53"/>
      <c r="P158" s="53"/>
      <c r="Q158" s="53"/>
      <c r="R158" s="53"/>
      <c r="S158" s="53"/>
    </row>
    <row r="159" spans="6:19" s="21" customFormat="1" ht="24" x14ac:dyDescent="0.55000000000000004">
      <c r="F159" s="20"/>
      <c r="J159" s="98"/>
      <c r="K159" s="94"/>
      <c r="L159" s="53"/>
      <c r="M159" s="53"/>
      <c r="N159" s="53"/>
      <c r="O159" s="53"/>
      <c r="P159" s="53"/>
      <c r="Q159" s="53"/>
      <c r="R159" s="53"/>
      <c r="S159" s="53"/>
    </row>
    <row r="160" spans="6:19" s="21" customFormat="1" ht="24" x14ac:dyDescent="0.55000000000000004">
      <c r="F160" s="20"/>
      <c r="J160" s="98"/>
      <c r="K160" s="94"/>
      <c r="L160" s="53"/>
      <c r="M160" s="53"/>
      <c r="N160" s="53"/>
      <c r="O160" s="53"/>
      <c r="P160" s="53"/>
      <c r="Q160" s="53"/>
      <c r="R160" s="53"/>
      <c r="S160" s="53"/>
    </row>
    <row r="161" spans="6:19" s="21" customFormat="1" ht="24" x14ac:dyDescent="0.55000000000000004">
      <c r="F161" s="20"/>
      <c r="J161" s="98"/>
      <c r="K161" s="94"/>
      <c r="L161" s="53"/>
      <c r="M161" s="53"/>
      <c r="N161" s="53"/>
      <c r="O161" s="53"/>
      <c r="P161" s="53"/>
      <c r="Q161" s="53"/>
      <c r="R161" s="53"/>
      <c r="S161" s="53"/>
    </row>
    <row r="162" spans="6:19" s="21" customFormat="1" ht="24" x14ac:dyDescent="0.55000000000000004">
      <c r="F162" s="20"/>
      <c r="J162" s="98"/>
      <c r="K162" s="94"/>
      <c r="L162" s="53"/>
      <c r="M162" s="53"/>
      <c r="N162" s="53"/>
      <c r="O162" s="53"/>
      <c r="P162" s="53"/>
      <c r="Q162" s="53"/>
      <c r="R162" s="53"/>
      <c r="S162" s="53"/>
    </row>
    <row r="163" spans="6:19" s="21" customFormat="1" ht="24" x14ac:dyDescent="0.55000000000000004">
      <c r="F163" s="20"/>
      <c r="J163" s="98"/>
      <c r="K163" s="94"/>
      <c r="L163" s="53"/>
      <c r="M163" s="53"/>
      <c r="N163" s="53"/>
      <c r="O163" s="53"/>
      <c r="P163" s="53"/>
      <c r="Q163" s="53"/>
      <c r="R163" s="53"/>
      <c r="S163" s="53"/>
    </row>
    <row r="164" spans="6:19" s="21" customFormat="1" ht="24" x14ac:dyDescent="0.55000000000000004">
      <c r="F164" s="20"/>
      <c r="J164" s="98"/>
      <c r="K164" s="94"/>
      <c r="L164" s="53"/>
      <c r="M164" s="53"/>
      <c r="N164" s="53"/>
      <c r="O164" s="53"/>
      <c r="P164" s="53"/>
      <c r="Q164" s="53"/>
      <c r="R164" s="53"/>
      <c r="S164" s="53"/>
    </row>
    <row r="165" spans="6:19" s="21" customFormat="1" ht="24" x14ac:dyDescent="0.55000000000000004">
      <c r="F165" s="20"/>
      <c r="J165" s="98"/>
      <c r="K165" s="94"/>
      <c r="L165" s="53"/>
      <c r="M165" s="53"/>
      <c r="N165" s="53"/>
      <c r="O165" s="53"/>
      <c r="P165" s="53"/>
      <c r="Q165" s="53"/>
      <c r="R165" s="53"/>
      <c r="S165" s="53"/>
    </row>
  </sheetData>
  <mergeCells count="37">
    <mergeCell ref="A115:F115"/>
    <mergeCell ref="A116:F116"/>
    <mergeCell ref="A117:F117"/>
    <mergeCell ref="A42:E42"/>
    <mergeCell ref="A60:E60"/>
    <mergeCell ref="A63:I63"/>
    <mergeCell ref="A64:I64"/>
    <mergeCell ref="A65:I65"/>
    <mergeCell ref="A66:I66"/>
    <mergeCell ref="A67:G67"/>
    <mergeCell ref="A68:F68"/>
    <mergeCell ref="A104:F104"/>
    <mergeCell ref="A109:F109"/>
    <mergeCell ref="A114:F114"/>
    <mergeCell ref="A127:G127"/>
    <mergeCell ref="A128:E128"/>
    <mergeCell ref="A129:E129"/>
    <mergeCell ref="A130:E130"/>
    <mergeCell ref="A118:F118"/>
    <mergeCell ref="A119:F119"/>
    <mergeCell ref="A120:F120"/>
    <mergeCell ref="A122:G122"/>
    <mergeCell ref="A123:G123"/>
    <mergeCell ref="A124:G124"/>
    <mergeCell ref="A125:F125"/>
    <mergeCell ref="A126:F126"/>
    <mergeCell ref="A31:E31"/>
    <mergeCell ref="A6:E6"/>
    <mergeCell ref="A7:E7"/>
    <mergeCell ref="A8:E8"/>
    <mergeCell ref="A10:E10"/>
    <mergeCell ref="A30:E30"/>
    <mergeCell ref="A1:H1"/>
    <mergeCell ref="A2:H2"/>
    <mergeCell ref="A3:H3"/>
    <mergeCell ref="A4:H4"/>
    <mergeCell ref="A5:E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3:N26"/>
  <sheetViews>
    <sheetView topLeftCell="A2" workbookViewId="0">
      <selection activeCell="M7" sqref="M7"/>
    </sheetView>
  </sheetViews>
  <sheetFormatPr defaultRowHeight="14.25" x14ac:dyDescent="0.2"/>
  <cols>
    <col min="1" max="1" width="3.5" customWidth="1"/>
    <col min="12" max="12" width="2.5" customWidth="1"/>
    <col min="13" max="13" width="42.5" customWidth="1"/>
    <col min="14" max="14" width="12.75" customWidth="1"/>
  </cols>
  <sheetData>
    <row r="3" spans="12:14" x14ac:dyDescent="0.2">
      <c r="N3" s="119"/>
    </row>
    <row r="4" spans="12:14" x14ac:dyDescent="0.2">
      <c r="L4">
        <v>1</v>
      </c>
      <c r="M4" s="60" t="s">
        <v>118</v>
      </c>
      <c r="N4" s="120">
        <f>+N6/N5</f>
        <v>2.888185552426183E-2</v>
      </c>
    </row>
    <row r="5" spans="12:14" x14ac:dyDescent="0.2">
      <c r="L5" t="s">
        <v>78</v>
      </c>
      <c r="M5" s="60" t="s">
        <v>122</v>
      </c>
      <c r="N5" s="121">
        <v>1474559</v>
      </c>
    </row>
    <row r="6" spans="12:14" x14ac:dyDescent="0.2">
      <c r="L6" t="s">
        <v>78</v>
      </c>
      <c r="M6" s="60" t="s">
        <v>123</v>
      </c>
      <c r="N6" s="121">
        <f>+SUM(N7:N9)</f>
        <v>42588</v>
      </c>
    </row>
    <row r="7" spans="12:14" x14ac:dyDescent="0.2">
      <c r="L7" t="s">
        <v>78</v>
      </c>
      <c r="N7" s="122">
        <v>4660</v>
      </c>
    </row>
    <row r="8" spans="12:14" x14ac:dyDescent="0.2">
      <c r="L8" t="s">
        <v>78</v>
      </c>
      <c r="N8" s="122">
        <v>6973</v>
      </c>
    </row>
    <row r="9" spans="12:14" x14ac:dyDescent="0.2">
      <c r="N9" s="122">
        <v>30955</v>
      </c>
    </row>
    <row r="10" spans="12:14" x14ac:dyDescent="0.2">
      <c r="N10" s="122"/>
    </row>
    <row r="11" spans="12:14" x14ac:dyDescent="0.2">
      <c r="L11">
        <v>2</v>
      </c>
      <c r="M11" s="60" t="s">
        <v>119</v>
      </c>
      <c r="N11" s="123">
        <f>+N12/N6</f>
        <v>1.8782990513759745</v>
      </c>
    </row>
    <row r="12" spans="12:14" x14ac:dyDescent="0.2">
      <c r="M12" s="60" t="s">
        <v>124</v>
      </c>
      <c r="N12" s="121">
        <v>79993</v>
      </c>
    </row>
    <row r="13" spans="12:14" x14ac:dyDescent="0.2">
      <c r="N13" s="122"/>
    </row>
    <row r="14" spans="12:14" x14ac:dyDescent="0.2">
      <c r="M14" s="60" t="s">
        <v>120</v>
      </c>
      <c r="N14" s="124">
        <f>+N12/N5</f>
        <v>5.424876183319894E-2</v>
      </c>
    </row>
    <row r="15" spans="12:14" x14ac:dyDescent="0.2">
      <c r="N15" s="119"/>
    </row>
    <row r="16" spans="12:14" x14ac:dyDescent="0.2">
      <c r="L16">
        <v>3</v>
      </c>
      <c r="M16" s="60" t="s">
        <v>121</v>
      </c>
      <c r="N16" s="123">
        <f>+N17/N18</f>
        <v>1.7135359766938714</v>
      </c>
    </row>
    <row r="17" spans="12:14" x14ac:dyDescent="0.2">
      <c r="M17" s="60" t="s">
        <v>125</v>
      </c>
      <c r="N17" s="121">
        <v>79993</v>
      </c>
    </row>
    <row r="18" spans="12:14" x14ac:dyDescent="0.2">
      <c r="M18" s="60" t="s">
        <v>126</v>
      </c>
      <c r="N18" s="121">
        <v>46683</v>
      </c>
    </row>
    <row r="19" spans="12:14" x14ac:dyDescent="0.2">
      <c r="N19" s="119"/>
    </row>
    <row r="20" spans="12:14" x14ac:dyDescent="0.2">
      <c r="L20">
        <v>4</v>
      </c>
      <c r="M20" s="60" t="s">
        <v>117</v>
      </c>
      <c r="N20" s="123">
        <f>+(N6-N21)/N6</f>
        <v>0.5185028646567108</v>
      </c>
    </row>
    <row r="21" spans="12:14" x14ac:dyDescent="0.2">
      <c r="M21" s="60" t="s">
        <v>127</v>
      </c>
      <c r="N21" s="125">
        <f>+SUM(N22:N24)</f>
        <v>20506</v>
      </c>
    </row>
    <row r="22" spans="12:14" x14ac:dyDescent="0.2">
      <c r="N22" s="122">
        <v>1564</v>
      </c>
    </row>
    <row r="23" spans="12:14" x14ac:dyDescent="0.2">
      <c r="N23" s="122">
        <v>2716</v>
      </c>
    </row>
    <row r="24" spans="12:14" x14ac:dyDescent="0.2">
      <c r="N24" s="122">
        <v>16226</v>
      </c>
    </row>
    <row r="25" spans="12:14" x14ac:dyDescent="0.2">
      <c r="N25" s="119"/>
    </row>
    <row r="26" spans="12:14" x14ac:dyDescent="0.2">
      <c r="N26" s="119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22:P38"/>
  <sheetViews>
    <sheetView workbookViewId="0">
      <selection activeCell="O37" sqref="O37"/>
    </sheetView>
  </sheetViews>
  <sheetFormatPr defaultRowHeight="14.25" x14ac:dyDescent="0.2"/>
  <cols>
    <col min="12" max="12" width="12.875" customWidth="1"/>
    <col min="13" max="13" width="13.125" bestFit="1" customWidth="1"/>
    <col min="14" max="14" width="11" customWidth="1"/>
  </cols>
  <sheetData>
    <row r="22" spans="12:15" x14ac:dyDescent="0.2">
      <c r="L22" t="s">
        <v>133</v>
      </c>
      <c r="M22" s="61">
        <v>231525</v>
      </c>
    </row>
    <row r="23" spans="12:15" x14ac:dyDescent="0.2">
      <c r="L23" t="s">
        <v>78</v>
      </c>
    </row>
    <row r="24" spans="12:15" x14ac:dyDescent="0.2">
      <c r="L24" t="s">
        <v>134</v>
      </c>
      <c r="O24" s="62">
        <v>0.1535</v>
      </c>
    </row>
    <row r="26" spans="12:15" x14ac:dyDescent="0.2">
      <c r="L26" t="s">
        <v>135</v>
      </c>
      <c r="M26" s="81">
        <f>+M22/O24</f>
        <v>1508306.1889250814</v>
      </c>
      <c r="N26" s="80" t="s">
        <v>136</v>
      </c>
    </row>
    <row r="29" spans="12:15" x14ac:dyDescent="0.2">
      <c r="L29" t="s">
        <v>137</v>
      </c>
      <c r="M29" s="61">
        <v>184171</v>
      </c>
    </row>
    <row r="30" spans="12:15" x14ac:dyDescent="0.2">
      <c r="L30" t="s">
        <v>78</v>
      </c>
    </row>
    <row r="31" spans="12:15" x14ac:dyDescent="0.2">
      <c r="L31" t="s">
        <v>138</v>
      </c>
      <c r="O31" s="62">
        <v>0.1221</v>
      </c>
    </row>
    <row r="33" spans="12:16" x14ac:dyDescent="0.2">
      <c r="L33" t="s">
        <v>135</v>
      </c>
      <c r="M33" s="81">
        <f>+M29/O31</f>
        <v>1508361.9983619985</v>
      </c>
      <c r="N33" s="80" t="s">
        <v>139</v>
      </c>
      <c r="P33" t="s">
        <v>31</v>
      </c>
    </row>
    <row r="38" spans="12:16" x14ac:dyDescent="0.2">
      <c r="N38" s="78" t="s">
        <v>78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4"/>
  <sheetViews>
    <sheetView workbookViewId="0">
      <selection activeCell="A17" sqref="A17"/>
    </sheetView>
  </sheetViews>
  <sheetFormatPr defaultRowHeight="14.25" x14ac:dyDescent="0.2"/>
  <sheetData>
    <row r="3" spans="2:5" x14ac:dyDescent="0.2">
      <c r="B3">
        <v>15</v>
      </c>
      <c r="C3">
        <f>+B3</f>
        <v>15</v>
      </c>
      <c r="D3" s="78">
        <f>+B3/140</f>
        <v>0.10714285714285714</v>
      </c>
      <c r="E3" s="78">
        <f>+B3/150</f>
        <v>0.1</v>
      </c>
    </row>
    <row r="4" spans="2:5" x14ac:dyDescent="0.2">
      <c r="B4">
        <v>10</v>
      </c>
      <c r="C4">
        <f>+C3+B4</f>
        <v>25</v>
      </c>
      <c r="D4" s="78">
        <f t="shared" ref="D4:D14" si="0">+B4/140</f>
        <v>7.1428571428571425E-2</v>
      </c>
      <c r="E4" s="78">
        <f t="shared" ref="E4:E13" si="1">+B4/150</f>
        <v>6.6666666666666666E-2</v>
      </c>
    </row>
    <row r="5" spans="2:5" x14ac:dyDescent="0.2">
      <c r="B5">
        <v>15</v>
      </c>
      <c r="C5">
        <f>+C4+B5</f>
        <v>40</v>
      </c>
      <c r="D5" s="78">
        <f t="shared" si="0"/>
        <v>0.10714285714285714</v>
      </c>
      <c r="E5" s="78">
        <f t="shared" si="1"/>
        <v>0.1</v>
      </c>
    </row>
    <row r="6" spans="2:5" x14ac:dyDescent="0.2">
      <c r="B6">
        <v>15</v>
      </c>
      <c r="C6">
        <f t="shared" ref="C6:C14" si="2">+C5+B6</f>
        <v>55</v>
      </c>
      <c r="D6" s="78">
        <f t="shared" si="0"/>
        <v>0.10714285714285714</v>
      </c>
      <c r="E6" s="78">
        <f t="shared" si="1"/>
        <v>0.1</v>
      </c>
    </row>
    <row r="7" spans="2:5" x14ac:dyDescent="0.2">
      <c r="B7">
        <v>17</v>
      </c>
      <c r="C7">
        <f t="shared" si="2"/>
        <v>72</v>
      </c>
      <c r="D7" s="78">
        <f t="shared" si="0"/>
        <v>0.12142857142857143</v>
      </c>
      <c r="E7" s="78">
        <f t="shared" si="1"/>
        <v>0.11333333333333333</v>
      </c>
    </row>
    <row r="8" spans="2:5" x14ac:dyDescent="0.2">
      <c r="B8">
        <v>8</v>
      </c>
      <c r="C8">
        <f t="shared" si="2"/>
        <v>80</v>
      </c>
      <c r="D8" s="78">
        <f t="shared" si="0"/>
        <v>5.7142857142857141E-2</v>
      </c>
      <c r="E8" s="78">
        <f t="shared" si="1"/>
        <v>5.3333333333333337E-2</v>
      </c>
    </row>
    <row r="9" spans="2:5" x14ac:dyDescent="0.2">
      <c r="B9">
        <v>15</v>
      </c>
      <c r="C9">
        <f t="shared" si="2"/>
        <v>95</v>
      </c>
      <c r="D9" s="78">
        <f t="shared" si="0"/>
        <v>0.10714285714285714</v>
      </c>
      <c r="E9" s="78">
        <f t="shared" si="1"/>
        <v>0.1</v>
      </c>
    </row>
    <row r="10" spans="2:5" x14ac:dyDescent="0.2">
      <c r="B10">
        <v>7</v>
      </c>
      <c r="C10">
        <f t="shared" si="2"/>
        <v>102</v>
      </c>
      <c r="D10" s="78">
        <f t="shared" si="0"/>
        <v>0.05</v>
      </c>
      <c r="E10" s="78">
        <f t="shared" si="1"/>
        <v>4.6666666666666669E-2</v>
      </c>
    </row>
    <row r="11" spans="2:5" x14ac:dyDescent="0.2">
      <c r="B11">
        <v>9</v>
      </c>
      <c r="C11">
        <f t="shared" si="2"/>
        <v>111</v>
      </c>
      <c r="D11" s="78">
        <f t="shared" si="0"/>
        <v>6.4285714285714279E-2</v>
      </c>
      <c r="E11" s="78">
        <f t="shared" si="1"/>
        <v>0.06</v>
      </c>
    </row>
    <row r="12" spans="2:5" x14ac:dyDescent="0.2">
      <c r="B12">
        <v>10</v>
      </c>
      <c r="C12">
        <f t="shared" si="2"/>
        <v>121</v>
      </c>
      <c r="D12" s="78">
        <f t="shared" si="0"/>
        <v>7.1428571428571425E-2</v>
      </c>
      <c r="E12" s="78">
        <f t="shared" si="1"/>
        <v>6.6666666666666666E-2</v>
      </c>
    </row>
    <row r="13" spans="2:5" x14ac:dyDescent="0.2">
      <c r="B13">
        <v>5</v>
      </c>
      <c r="C13">
        <f t="shared" si="2"/>
        <v>126</v>
      </c>
      <c r="D13" s="78">
        <f t="shared" si="0"/>
        <v>3.5714285714285712E-2</v>
      </c>
      <c r="E13" s="78">
        <f t="shared" si="1"/>
        <v>3.3333333333333333E-2</v>
      </c>
    </row>
    <row r="14" spans="2:5" x14ac:dyDescent="0.2">
      <c r="B14" s="95">
        <v>14</v>
      </c>
      <c r="C14" s="95">
        <f t="shared" si="2"/>
        <v>140</v>
      </c>
      <c r="D14" s="78">
        <f t="shared" si="0"/>
        <v>0.1</v>
      </c>
      <c r="E14" s="78">
        <f>24/150</f>
        <v>0.16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NIM,Cost</vt:lpstr>
      <vt:lpstr>CPL</vt:lpstr>
      <vt:lpstr>CAR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Manit</cp:lastModifiedBy>
  <dcterms:created xsi:type="dcterms:W3CDTF">2012-10-16T14:10:41Z</dcterms:created>
  <dcterms:modified xsi:type="dcterms:W3CDTF">2014-04-28T12:44:41Z</dcterms:modified>
</cp:coreProperties>
</file>