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lib\Desktop\"/>
    </mc:Choice>
  </mc:AlternateContent>
  <bookViews>
    <workbookView xWindow="0" yWindow="0" windowWidth="28800" windowHeight="12330" activeTab="1"/>
  </bookViews>
  <sheets>
    <sheet name="Elasticities" sheetId="1" r:id="rId1"/>
    <sheet name="Simulation" sheetId="2" r:id="rId2"/>
  </sheets>
  <definedNames>
    <definedName name="tc">Simulation!$AH$2</definedName>
  </definedNames>
  <calcPr calcId="162913" iterateCount="10000" iterateDelta="9.9999999999999995E-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38" i="2" l="1"/>
  <c r="AE27" i="2"/>
  <c r="AE16" i="2"/>
  <c r="O31" i="2"/>
  <c r="O32" i="2"/>
  <c r="O33" i="2" s="1"/>
  <c r="O34" i="2" s="1"/>
  <c r="O35" i="2" s="1"/>
  <c r="O36" i="2" s="1"/>
  <c r="O37" i="2" s="1"/>
  <c r="N31" i="2"/>
  <c r="N32" i="2"/>
  <c r="N33" i="2" s="1"/>
  <c r="N34" i="2" s="1"/>
  <c r="N35" i="2" s="1"/>
  <c r="N36" i="2" s="1"/>
  <c r="N37" i="2" s="1"/>
  <c r="AI37" i="2" s="1"/>
  <c r="AS37" i="2" s="1"/>
  <c r="BC37" i="2" s="1"/>
  <c r="M31" i="2"/>
  <c r="M32" i="2" s="1"/>
  <c r="M33" i="2" s="1"/>
  <c r="M34" i="2" s="1"/>
  <c r="M35" i="2" s="1"/>
  <c r="M36" i="2" s="1"/>
  <c r="M37" i="2" s="1"/>
  <c r="M30" i="2"/>
  <c r="N30" i="2"/>
  <c r="N29" i="2"/>
  <c r="N28" i="2"/>
  <c r="N20" i="2"/>
  <c r="N21" i="2" s="1"/>
  <c r="N22" i="2" s="1"/>
  <c r="N23" i="2" s="1"/>
  <c r="N24" i="2" s="1"/>
  <c r="N25" i="2" s="1"/>
  <c r="N26" i="2" s="1"/>
  <c r="N19" i="2"/>
  <c r="AI19" i="2" s="1"/>
  <c r="AS19" i="2" s="1"/>
  <c r="BC19" i="2" s="1"/>
  <c r="O30" i="2"/>
  <c r="O29" i="2"/>
  <c r="O28" i="2"/>
  <c r="O20" i="2"/>
  <c r="O21" i="2" s="1"/>
  <c r="O22" i="2" s="1"/>
  <c r="O23" i="2" s="1"/>
  <c r="O24" i="2" s="1"/>
  <c r="O25" i="2" s="1"/>
  <c r="O26" i="2" s="1"/>
  <c r="O19" i="2"/>
  <c r="P31" i="2"/>
  <c r="P32" i="2" s="1"/>
  <c r="P33" i="2" s="1"/>
  <c r="P34" i="2" s="1"/>
  <c r="P35" i="2" s="1"/>
  <c r="P36" i="2" s="1"/>
  <c r="P37" i="2" s="1"/>
  <c r="AK37" i="2" s="1"/>
  <c r="AU37" i="2" s="1"/>
  <c r="BE37" i="2" s="1"/>
  <c r="P30" i="2"/>
  <c r="P29" i="2"/>
  <c r="P28" i="2"/>
  <c r="AK28" i="2" s="1"/>
  <c r="AU28" i="2" s="1"/>
  <c r="BE28" i="2" s="1"/>
  <c r="P20" i="2"/>
  <c r="P21" i="2" s="1"/>
  <c r="P22" i="2" s="1"/>
  <c r="P23" i="2" s="1"/>
  <c r="P24" i="2" s="1"/>
  <c r="P25" i="2" s="1"/>
  <c r="P26" i="2" s="1"/>
  <c r="P19" i="2"/>
  <c r="Q31" i="2"/>
  <c r="Q32" i="2" s="1"/>
  <c r="Q33" i="2" s="1"/>
  <c r="Q34" i="2" s="1"/>
  <c r="Q35" i="2" s="1"/>
  <c r="Q36" i="2" s="1"/>
  <c r="Q37" i="2" s="1"/>
  <c r="Q30" i="2"/>
  <c r="Q29" i="2"/>
  <c r="Q28" i="2"/>
  <c r="Q20" i="2"/>
  <c r="Q21" i="2"/>
  <c r="Q22" i="2"/>
  <c r="Q23" i="2"/>
  <c r="Q24" i="2" s="1"/>
  <c r="Q25" i="2" s="1"/>
  <c r="Q26" i="2" s="1"/>
  <c r="Q19" i="2"/>
  <c r="R31" i="2"/>
  <c r="R32" i="2"/>
  <c r="R33" i="2" s="1"/>
  <c r="R34" i="2" s="1"/>
  <c r="R35" i="2" s="1"/>
  <c r="R36" i="2" s="1"/>
  <c r="R37" i="2" s="1"/>
  <c r="R30" i="2"/>
  <c r="R29" i="2"/>
  <c r="AM29" i="2" s="1"/>
  <c r="AW29" i="2" s="1"/>
  <c r="BG29" i="2" s="1"/>
  <c r="R28" i="2"/>
  <c r="R20" i="2"/>
  <c r="R21" i="2" s="1"/>
  <c r="R22" i="2" s="1"/>
  <c r="R23" i="2" s="1"/>
  <c r="R24" i="2" s="1"/>
  <c r="R25" i="2" s="1"/>
  <c r="R26" i="2" s="1"/>
  <c r="R19" i="2"/>
  <c r="AM19" i="2" s="1"/>
  <c r="AW19" i="2" s="1"/>
  <c r="BG19" i="2" s="1"/>
  <c r="S29" i="2"/>
  <c r="AN29" i="2" s="1"/>
  <c r="AX29" i="2" s="1"/>
  <c r="BH29" i="2" s="1"/>
  <c r="S28" i="2"/>
  <c r="S30" i="2"/>
  <c r="AN30" i="2" s="1"/>
  <c r="AX30" i="2" s="1"/>
  <c r="BH30" i="2" s="1"/>
  <c r="T29" i="2"/>
  <c r="T28" i="2"/>
  <c r="T30" i="2"/>
  <c r="T31" i="2" s="1"/>
  <c r="T32" i="2" s="1"/>
  <c r="T33" i="2" s="1"/>
  <c r="T34" i="2" s="1"/>
  <c r="T35" i="2" s="1"/>
  <c r="T36" i="2" s="1"/>
  <c r="S20" i="2"/>
  <c r="S21" i="2" s="1"/>
  <c r="S22" i="2" s="1"/>
  <c r="S23" i="2" s="1"/>
  <c r="S24" i="2" s="1"/>
  <c r="S25" i="2" s="1"/>
  <c r="S26" i="2" s="1"/>
  <c r="S19" i="2"/>
  <c r="S18" i="2"/>
  <c r="S17" i="2"/>
  <c r="T20" i="2"/>
  <c r="T21" i="2" s="1"/>
  <c r="T22" i="2" s="1"/>
  <c r="T23" i="2" s="1"/>
  <c r="T24" i="2" s="1"/>
  <c r="T25" i="2" s="1"/>
  <c r="T26" i="2" s="1"/>
  <c r="T19" i="2"/>
  <c r="AH17" i="2"/>
  <c r="AR17" i="2" s="1"/>
  <c r="BB17" i="2" s="1"/>
  <c r="AI17" i="2"/>
  <c r="AS17" i="2" s="1"/>
  <c r="BC17" i="2" s="1"/>
  <c r="AJ17" i="2"/>
  <c r="AT17" i="2" s="1"/>
  <c r="BD17" i="2" s="1"/>
  <c r="AK17" i="2"/>
  <c r="AU17" i="2" s="1"/>
  <c r="BE17" i="2" s="1"/>
  <c r="AL17" i="2"/>
  <c r="AV17" i="2" s="1"/>
  <c r="BF17" i="2" s="1"/>
  <c r="AM17" i="2"/>
  <c r="AW17" i="2" s="1"/>
  <c r="BG17" i="2" s="1"/>
  <c r="AN17" i="2"/>
  <c r="AX17" i="2" s="1"/>
  <c r="BH17" i="2" s="1"/>
  <c r="AO17" i="2"/>
  <c r="AY17" i="2" s="1"/>
  <c r="BI17" i="2" s="1"/>
  <c r="AH18" i="2"/>
  <c r="AR18" i="2" s="1"/>
  <c r="BB18" i="2" s="1"/>
  <c r="AI18" i="2"/>
  <c r="AS18" i="2" s="1"/>
  <c r="BC18" i="2" s="1"/>
  <c r="AJ18" i="2"/>
  <c r="AT18" i="2" s="1"/>
  <c r="BD18" i="2" s="1"/>
  <c r="AK18" i="2"/>
  <c r="AU18" i="2" s="1"/>
  <c r="BE18" i="2" s="1"/>
  <c r="AL18" i="2"/>
  <c r="AV18" i="2" s="1"/>
  <c r="BF18" i="2" s="1"/>
  <c r="AM18" i="2"/>
  <c r="AW18" i="2" s="1"/>
  <c r="BG18" i="2" s="1"/>
  <c r="AN18" i="2"/>
  <c r="AX18" i="2" s="1"/>
  <c r="BH18" i="2" s="1"/>
  <c r="AO18" i="2"/>
  <c r="AY18" i="2" s="1"/>
  <c r="BI18" i="2" s="1"/>
  <c r="AH19" i="2"/>
  <c r="AR19" i="2" s="1"/>
  <c r="BB19" i="2" s="1"/>
  <c r="AJ19" i="2"/>
  <c r="AT19" i="2" s="1"/>
  <c r="BD19" i="2" s="1"/>
  <c r="AK19" i="2"/>
  <c r="AU19" i="2" s="1"/>
  <c r="BE19" i="2" s="1"/>
  <c r="AL19" i="2"/>
  <c r="AV19" i="2" s="1"/>
  <c r="BF19" i="2" s="1"/>
  <c r="AN19" i="2"/>
  <c r="AX19" i="2" s="1"/>
  <c r="BH19" i="2" s="1"/>
  <c r="AO19" i="2"/>
  <c r="AY19" i="2" s="1"/>
  <c r="BI19" i="2" s="1"/>
  <c r="AH20" i="2"/>
  <c r="AR20" i="2" s="1"/>
  <c r="BB20" i="2" s="1"/>
  <c r="AH21" i="2"/>
  <c r="AR21" i="2" s="1"/>
  <c r="BB21" i="2" s="1"/>
  <c r="AH22" i="2"/>
  <c r="AR22" i="2" s="1"/>
  <c r="BB22" i="2" s="1"/>
  <c r="AH23" i="2"/>
  <c r="AR23" i="2" s="1"/>
  <c r="BB23" i="2" s="1"/>
  <c r="AH24" i="2"/>
  <c r="AR24" i="2" s="1"/>
  <c r="BB24" i="2" s="1"/>
  <c r="AH25" i="2"/>
  <c r="AR25" i="2" s="1"/>
  <c r="BB25" i="2" s="1"/>
  <c r="AH26" i="2"/>
  <c r="AR26" i="2" s="1"/>
  <c r="BB26" i="2" s="1"/>
  <c r="AH28" i="2"/>
  <c r="AR28" i="2" s="1"/>
  <c r="BB28" i="2" s="1"/>
  <c r="AI28" i="2"/>
  <c r="AS28" i="2" s="1"/>
  <c r="BC28" i="2" s="1"/>
  <c r="AJ28" i="2"/>
  <c r="AT28" i="2" s="1"/>
  <c r="BD28" i="2" s="1"/>
  <c r="AL28" i="2"/>
  <c r="AV28" i="2" s="1"/>
  <c r="BF28" i="2" s="1"/>
  <c r="AM28" i="2"/>
  <c r="AW28" i="2" s="1"/>
  <c r="BG28" i="2" s="1"/>
  <c r="AN28" i="2"/>
  <c r="AX28" i="2" s="1"/>
  <c r="BH28" i="2" s="1"/>
  <c r="AO28" i="2"/>
  <c r="AY28" i="2" s="1"/>
  <c r="BI28" i="2" s="1"/>
  <c r="AH29" i="2"/>
  <c r="AR29" i="2" s="1"/>
  <c r="BB29" i="2" s="1"/>
  <c r="AI29" i="2"/>
  <c r="AS29" i="2" s="1"/>
  <c r="BC29" i="2" s="1"/>
  <c r="AJ29" i="2"/>
  <c r="AT29" i="2" s="1"/>
  <c r="BD29" i="2" s="1"/>
  <c r="AK29" i="2"/>
  <c r="AU29" i="2" s="1"/>
  <c r="BE29" i="2" s="1"/>
  <c r="AL29" i="2"/>
  <c r="AV29" i="2" s="1"/>
  <c r="BF29" i="2" s="1"/>
  <c r="AO29" i="2"/>
  <c r="AY29" i="2" s="1"/>
  <c r="BI29" i="2" s="1"/>
  <c r="AH30" i="2"/>
  <c r="AR30" i="2" s="1"/>
  <c r="BB30" i="2" s="1"/>
  <c r="AO30" i="2"/>
  <c r="AY30" i="2" s="1"/>
  <c r="BI30" i="2" s="1"/>
  <c r="AO9" i="2"/>
  <c r="AY9" i="2" s="1"/>
  <c r="BI9" i="2" s="1"/>
  <c r="AO10" i="2"/>
  <c r="AY10" i="2" s="1"/>
  <c r="BI10" i="2" s="1"/>
  <c r="AO11" i="2"/>
  <c r="AY11" i="2" s="1"/>
  <c r="BI11" i="2" s="1"/>
  <c r="AO12" i="2"/>
  <c r="AY12" i="2" s="1"/>
  <c r="BI12" i="2" s="1"/>
  <c r="AO13" i="2"/>
  <c r="AY13" i="2" s="1"/>
  <c r="BI13" i="2" s="1"/>
  <c r="AO14" i="2"/>
  <c r="AY14" i="2" s="1"/>
  <c r="BI14" i="2" s="1"/>
  <c r="AO15" i="2"/>
  <c r="AY15" i="2" s="1"/>
  <c r="BI15" i="2" s="1"/>
  <c r="AO8" i="2"/>
  <c r="AY8" i="2" s="1"/>
  <c r="BI8" i="2" s="1"/>
  <c r="AG17" i="2"/>
  <c r="AQ17" i="2" s="1"/>
  <c r="BA17" i="2" s="1"/>
  <c r="AG18" i="2"/>
  <c r="AQ18" i="2" s="1"/>
  <c r="BA18" i="2" s="1"/>
  <c r="AG19" i="2"/>
  <c r="AQ19" i="2" s="1"/>
  <c r="BA19" i="2" s="1"/>
  <c r="AG20" i="2"/>
  <c r="AQ20" i="2" s="1"/>
  <c r="BA20" i="2" s="1"/>
  <c r="AG21" i="2"/>
  <c r="AQ21" i="2" s="1"/>
  <c r="BA21" i="2" s="1"/>
  <c r="AG22" i="2"/>
  <c r="AQ22" i="2" s="1"/>
  <c r="BA22" i="2" s="1"/>
  <c r="AG23" i="2"/>
  <c r="AQ23" i="2" s="1"/>
  <c r="BA23" i="2" s="1"/>
  <c r="AG24" i="2"/>
  <c r="AQ24" i="2" s="1"/>
  <c r="BA24" i="2" s="1"/>
  <c r="AG25" i="2"/>
  <c r="AQ25" i="2" s="1"/>
  <c r="BA25" i="2" s="1"/>
  <c r="AG26" i="2"/>
  <c r="AQ26" i="2" s="1"/>
  <c r="BA26" i="2" s="1"/>
  <c r="AG28" i="2"/>
  <c r="AQ28" i="2" s="1"/>
  <c r="BA28" i="2" s="1"/>
  <c r="AG29" i="2"/>
  <c r="AQ29" i="2" s="1"/>
  <c r="BA29" i="2" s="1"/>
  <c r="AG30" i="2"/>
  <c r="AQ30" i="2" s="1"/>
  <c r="BA30" i="2" s="1"/>
  <c r="AG31" i="2"/>
  <c r="AQ31" i="2" s="1"/>
  <c r="BA31" i="2" s="1"/>
  <c r="AG32" i="2"/>
  <c r="AQ32" i="2" s="1"/>
  <c r="BA32" i="2" s="1"/>
  <c r="AG33" i="2"/>
  <c r="AQ33" i="2" s="1"/>
  <c r="BA33" i="2" s="1"/>
  <c r="AG34" i="2"/>
  <c r="AQ34" i="2" s="1"/>
  <c r="BA34" i="2" s="1"/>
  <c r="AG35" i="2"/>
  <c r="AQ35" i="2" s="1"/>
  <c r="BA35" i="2" s="1"/>
  <c r="AG36" i="2"/>
  <c r="AQ36" i="2" s="1"/>
  <c r="BA36" i="2" s="1"/>
  <c r="AG37" i="2"/>
  <c r="AQ37" i="2" s="1"/>
  <c r="BA37" i="2" s="1"/>
  <c r="AN9" i="2"/>
  <c r="AX9" i="2" s="1"/>
  <c r="BH9" i="2" s="1"/>
  <c r="AN10" i="2"/>
  <c r="AX10" i="2" s="1"/>
  <c r="BH10" i="2" s="1"/>
  <c r="AN11" i="2"/>
  <c r="AX11" i="2" s="1"/>
  <c r="BH11" i="2" s="1"/>
  <c r="AN12" i="2"/>
  <c r="AX12" i="2" s="1"/>
  <c r="BH12" i="2" s="1"/>
  <c r="AN13" i="2"/>
  <c r="AX13" i="2" s="1"/>
  <c r="BH13" i="2" s="1"/>
  <c r="AN14" i="2"/>
  <c r="AX14" i="2" s="1"/>
  <c r="BH14" i="2" s="1"/>
  <c r="AN15" i="2"/>
  <c r="AX15" i="2" s="1"/>
  <c r="BH15" i="2" s="1"/>
  <c r="AN8" i="2"/>
  <c r="AX8" i="2" s="1"/>
  <c r="BH8" i="2" s="1"/>
  <c r="AM9" i="2"/>
  <c r="AW9" i="2" s="1"/>
  <c r="BG9" i="2" s="1"/>
  <c r="AM10" i="2"/>
  <c r="AW10" i="2" s="1"/>
  <c r="BG10" i="2" s="1"/>
  <c r="AM11" i="2"/>
  <c r="AW11" i="2" s="1"/>
  <c r="BG11" i="2" s="1"/>
  <c r="AM12" i="2"/>
  <c r="AW12" i="2" s="1"/>
  <c r="BG12" i="2" s="1"/>
  <c r="AM13" i="2"/>
  <c r="AW13" i="2" s="1"/>
  <c r="BG13" i="2" s="1"/>
  <c r="AM14" i="2"/>
  <c r="AW14" i="2" s="1"/>
  <c r="BG14" i="2" s="1"/>
  <c r="AM15" i="2"/>
  <c r="AW15" i="2" s="1"/>
  <c r="BG15" i="2" s="1"/>
  <c r="AM8" i="2"/>
  <c r="AW8" i="2" s="1"/>
  <c r="BG8" i="2" s="1"/>
  <c r="AL9" i="2"/>
  <c r="AV9" i="2" s="1"/>
  <c r="BF9" i="2" s="1"/>
  <c r="AL10" i="2"/>
  <c r="AV10" i="2" s="1"/>
  <c r="BF10" i="2" s="1"/>
  <c r="AL11" i="2"/>
  <c r="AV11" i="2" s="1"/>
  <c r="BF11" i="2" s="1"/>
  <c r="AL12" i="2"/>
  <c r="AV12" i="2" s="1"/>
  <c r="BF12" i="2" s="1"/>
  <c r="AL13" i="2"/>
  <c r="AV13" i="2" s="1"/>
  <c r="BF13" i="2" s="1"/>
  <c r="AL14" i="2"/>
  <c r="AV14" i="2" s="1"/>
  <c r="BF14" i="2" s="1"/>
  <c r="AL15" i="2"/>
  <c r="AV15" i="2" s="1"/>
  <c r="BF15" i="2" s="1"/>
  <c r="AL8" i="2"/>
  <c r="AV8" i="2" s="1"/>
  <c r="BF8" i="2" s="1"/>
  <c r="AK9" i="2"/>
  <c r="AU9" i="2" s="1"/>
  <c r="BE9" i="2" s="1"/>
  <c r="AK10" i="2"/>
  <c r="AU10" i="2" s="1"/>
  <c r="BE10" i="2" s="1"/>
  <c r="AK11" i="2"/>
  <c r="AU11" i="2" s="1"/>
  <c r="BE11" i="2" s="1"/>
  <c r="AK12" i="2"/>
  <c r="AU12" i="2" s="1"/>
  <c r="BE12" i="2" s="1"/>
  <c r="AK13" i="2"/>
  <c r="AU13" i="2" s="1"/>
  <c r="BE13" i="2" s="1"/>
  <c r="AK14" i="2"/>
  <c r="AU14" i="2" s="1"/>
  <c r="BE14" i="2" s="1"/>
  <c r="AK15" i="2"/>
  <c r="AU15" i="2" s="1"/>
  <c r="BE15" i="2" s="1"/>
  <c r="AK8" i="2"/>
  <c r="AU8" i="2" s="1"/>
  <c r="BE8" i="2" s="1"/>
  <c r="AJ9" i="2"/>
  <c r="AT9" i="2" s="1"/>
  <c r="BD9" i="2" s="1"/>
  <c r="AJ10" i="2"/>
  <c r="AT10" i="2" s="1"/>
  <c r="BD10" i="2" s="1"/>
  <c r="AJ11" i="2"/>
  <c r="AT11" i="2" s="1"/>
  <c r="BD11" i="2" s="1"/>
  <c r="AJ12" i="2"/>
  <c r="AT12" i="2" s="1"/>
  <c r="BD12" i="2" s="1"/>
  <c r="AJ13" i="2"/>
  <c r="AT13" i="2" s="1"/>
  <c r="BD13" i="2" s="1"/>
  <c r="AJ14" i="2"/>
  <c r="AT14" i="2" s="1"/>
  <c r="BD14" i="2" s="1"/>
  <c r="AJ15" i="2"/>
  <c r="AT15" i="2" s="1"/>
  <c r="BD15" i="2" s="1"/>
  <c r="AJ8" i="2"/>
  <c r="AT8" i="2" s="1"/>
  <c r="BD8" i="2" s="1"/>
  <c r="AI9" i="2"/>
  <c r="AS9" i="2" s="1"/>
  <c r="BC9" i="2" s="1"/>
  <c r="AI10" i="2"/>
  <c r="AS10" i="2" s="1"/>
  <c r="BC10" i="2" s="1"/>
  <c r="AI11" i="2"/>
  <c r="AS11" i="2" s="1"/>
  <c r="BC11" i="2" s="1"/>
  <c r="AI12" i="2"/>
  <c r="AS12" i="2" s="1"/>
  <c r="BC12" i="2" s="1"/>
  <c r="AI13" i="2"/>
  <c r="AS13" i="2" s="1"/>
  <c r="BC13" i="2" s="1"/>
  <c r="AI14" i="2"/>
  <c r="AS14" i="2" s="1"/>
  <c r="BC14" i="2" s="1"/>
  <c r="AI15" i="2"/>
  <c r="AS15" i="2" s="1"/>
  <c r="BC15" i="2" s="1"/>
  <c r="AI8" i="2"/>
  <c r="AS8" i="2" s="1"/>
  <c r="BC8" i="2" s="1"/>
  <c r="AH13" i="2"/>
  <c r="AR13" i="2" s="1"/>
  <c r="BB13" i="2" s="1"/>
  <c r="AH9" i="2"/>
  <c r="AR9" i="2" s="1"/>
  <c r="BB9" i="2" s="1"/>
  <c r="AH10" i="2"/>
  <c r="AR10" i="2" s="1"/>
  <c r="BB10" i="2" s="1"/>
  <c r="AH11" i="2"/>
  <c r="AR11" i="2" s="1"/>
  <c r="BB11" i="2" s="1"/>
  <c r="AH12" i="2"/>
  <c r="AR12" i="2" s="1"/>
  <c r="BB12" i="2" s="1"/>
  <c r="AH14" i="2"/>
  <c r="AR14" i="2" s="1"/>
  <c r="BB14" i="2" s="1"/>
  <c r="AH15" i="2"/>
  <c r="AR15" i="2" s="1"/>
  <c r="BB15" i="2" s="1"/>
  <c r="AH8" i="2"/>
  <c r="AR8" i="2" s="1"/>
  <c r="BB8" i="2" s="1"/>
  <c r="AG9" i="2"/>
  <c r="AQ9" i="2" s="1"/>
  <c r="BA9" i="2" s="1"/>
  <c r="AG10" i="2"/>
  <c r="AQ10" i="2" s="1"/>
  <c r="BA10" i="2" s="1"/>
  <c r="AG11" i="2"/>
  <c r="AQ11" i="2" s="1"/>
  <c r="BA11" i="2" s="1"/>
  <c r="AG12" i="2"/>
  <c r="AQ12" i="2" s="1"/>
  <c r="BA12" i="2" s="1"/>
  <c r="AG13" i="2"/>
  <c r="AQ13" i="2" s="1"/>
  <c r="BA13" i="2" s="1"/>
  <c r="BJ13" i="2" s="1"/>
  <c r="BK13" i="2" s="1"/>
  <c r="AG14" i="2"/>
  <c r="AQ14" i="2" s="1"/>
  <c r="BA14" i="2" s="1"/>
  <c r="BJ14" i="2" s="1"/>
  <c r="BK14" i="2" s="1"/>
  <c r="AG15" i="2"/>
  <c r="AQ15" i="2" s="1"/>
  <c r="BA15" i="2" s="1"/>
  <c r="AG8" i="2"/>
  <c r="AQ8" i="2" s="1"/>
  <c r="BA8" i="2" s="1"/>
  <c r="AE9" i="2"/>
  <c r="AE10" i="2"/>
  <c r="AE11" i="2"/>
  <c r="AE12" i="2"/>
  <c r="AE13" i="2"/>
  <c r="AE14" i="2"/>
  <c r="AE15" i="2"/>
  <c r="AE17" i="2"/>
  <c r="AE18" i="2"/>
  <c r="AE19" i="2"/>
  <c r="AE20" i="2"/>
  <c r="AE21" i="2"/>
  <c r="AE22" i="2"/>
  <c r="AE23" i="2"/>
  <c r="AE24" i="2"/>
  <c r="AE25" i="2"/>
  <c r="AE26" i="2"/>
  <c r="AE28" i="2"/>
  <c r="AE29" i="2"/>
  <c r="AE30" i="2"/>
  <c r="AE31" i="2"/>
  <c r="AE32" i="2"/>
  <c r="AE33" i="2"/>
  <c r="AE34" i="2"/>
  <c r="AE35" i="2"/>
  <c r="AE36" i="2"/>
  <c r="AE37" i="2"/>
  <c r="AE8" i="2"/>
  <c r="AD29" i="2"/>
  <c r="AD30" i="2"/>
  <c r="AD31" i="2"/>
  <c r="AD32" i="2"/>
  <c r="AD33" i="2"/>
  <c r="AD34" i="2"/>
  <c r="AD35" i="2"/>
  <c r="AD36" i="2"/>
  <c r="AD37" i="2"/>
  <c r="AD28" i="2"/>
  <c r="AD18" i="2"/>
  <c r="AD19" i="2"/>
  <c r="AD20" i="2"/>
  <c r="AD21" i="2"/>
  <c r="AD22" i="2"/>
  <c r="AD23" i="2"/>
  <c r="AD24" i="2"/>
  <c r="AD25" i="2"/>
  <c r="AD26" i="2"/>
  <c r="AD17" i="2"/>
  <c r="AD9" i="2"/>
  <c r="AD10" i="2"/>
  <c r="AD11" i="2"/>
  <c r="AD12" i="2"/>
  <c r="AD13" i="2"/>
  <c r="AD14" i="2"/>
  <c r="AD15" i="2"/>
  <c r="AD8" i="2"/>
  <c r="AC29" i="2"/>
  <c r="AC30" i="2"/>
  <c r="AC31" i="2"/>
  <c r="AC32" i="2"/>
  <c r="AC33" i="2"/>
  <c r="AC34" i="2"/>
  <c r="AC35" i="2"/>
  <c r="AC36" i="2"/>
  <c r="AC37" i="2"/>
  <c r="AC28" i="2"/>
  <c r="AC18" i="2"/>
  <c r="AC19" i="2"/>
  <c r="AC20" i="2"/>
  <c r="AC21" i="2"/>
  <c r="AC22" i="2"/>
  <c r="AC23" i="2"/>
  <c r="AC24" i="2"/>
  <c r="AC25" i="2"/>
  <c r="AC26" i="2"/>
  <c r="AC17" i="2"/>
  <c r="AC9" i="2"/>
  <c r="AC10" i="2"/>
  <c r="AC11" i="2"/>
  <c r="AC12" i="2"/>
  <c r="AC13" i="2"/>
  <c r="AC14" i="2"/>
  <c r="AC15" i="2"/>
  <c r="AC8" i="2"/>
  <c r="AB29" i="2"/>
  <c r="AB30" i="2"/>
  <c r="AB31" i="2"/>
  <c r="AB32" i="2"/>
  <c r="AB33" i="2"/>
  <c r="AB34" i="2"/>
  <c r="AB35" i="2"/>
  <c r="AB36" i="2"/>
  <c r="AB37" i="2"/>
  <c r="AB28" i="2"/>
  <c r="AB18" i="2"/>
  <c r="AB19" i="2"/>
  <c r="AB20" i="2"/>
  <c r="AB21" i="2"/>
  <c r="AB22" i="2"/>
  <c r="AB23" i="2"/>
  <c r="AB24" i="2"/>
  <c r="AB25" i="2"/>
  <c r="AB26" i="2"/>
  <c r="AB17" i="2"/>
  <c r="AB9" i="2"/>
  <c r="AB10" i="2"/>
  <c r="AB11" i="2"/>
  <c r="AB12" i="2"/>
  <c r="AB13" i="2"/>
  <c r="AB14" i="2"/>
  <c r="AB15" i="2"/>
  <c r="AB8" i="2"/>
  <c r="AA29" i="2"/>
  <c r="AA30" i="2"/>
  <c r="AA31" i="2"/>
  <c r="AA32" i="2"/>
  <c r="AA33" i="2"/>
  <c r="AA34" i="2"/>
  <c r="AA35" i="2"/>
  <c r="AA36" i="2"/>
  <c r="AA37" i="2"/>
  <c r="AA28" i="2"/>
  <c r="AA18" i="2"/>
  <c r="AA19" i="2"/>
  <c r="AA20" i="2"/>
  <c r="AA21" i="2"/>
  <c r="AA22" i="2"/>
  <c r="AA23" i="2"/>
  <c r="AA24" i="2"/>
  <c r="AA25" i="2"/>
  <c r="AA26" i="2"/>
  <c r="AA17" i="2"/>
  <c r="AA9" i="2"/>
  <c r="AA10" i="2"/>
  <c r="AA11" i="2"/>
  <c r="AA12" i="2"/>
  <c r="AA13" i="2"/>
  <c r="AA14" i="2"/>
  <c r="AA15" i="2"/>
  <c r="AA8" i="2"/>
  <c r="Z29" i="2"/>
  <c r="Z30" i="2"/>
  <c r="Z31" i="2"/>
  <c r="Z32" i="2"/>
  <c r="Z33" i="2"/>
  <c r="Z34" i="2"/>
  <c r="Z35" i="2"/>
  <c r="Z36" i="2"/>
  <c r="Z37" i="2"/>
  <c r="Z28" i="2"/>
  <c r="Z18" i="2"/>
  <c r="Z19" i="2"/>
  <c r="Z20" i="2"/>
  <c r="Z21" i="2"/>
  <c r="Z22" i="2"/>
  <c r="Z23" i="2"/>
  <c r="Z24" i="2"/>
  <c r="Z25" i="2"/>
  <c r="Z26" i="2"/>
  <c r="Z17" i="2"/>
  <c r="Z9" i="2"/>
  <c r="Z10" i="2"/>
  <c r="Z11" i="2"/>
  <c r="Z12" i="2"/>
  <c r="Z13" i="2"/>
  <c r="Z14" i="2"/>
  <c r="Z15" i="2"/>
  <c r="Z8" i="2"/>
  <c r="Y29" i="2"/>
  <c r="Y30" i="2"/>
  <c r="Y31" i="2"/>
  <c r="Y32" i="2"/>
  <c r="Y33" i="2"/>
  <c r="Y34" i="2"/>
  <c r="Y35" i="2"/>
  <c r="Y36" i="2"/>
  <c r="Y37" i="2"/>
  <c r="Y28" i="2"/>
  <c r="Y18" i="2"/>
  <c r="Y19" i="2"/>
  <c r="Y20" i="2"/>
  <c r="Y21" i="2"/>
  <c r="Y22" i="2"/>
  <c r="Y23" i="2"/>
  <c r="Y24" i="2"/>
  <c r="Y25" i="2"/>
  <c r="Y26" i="2"/>
  <c r="Y17" i="2"/>
  <c r="Y9" i="2"/>
  <c r="Y10" i="2"/>
  <c r="Y11" i="2"/>
  <c r="Y12" i="2"/>
  <c r="Y13" i="2"/>
  <c r="Y14" i="2"/>
  <c r="Y15" i="2"/>
  <c r="Y8" i="2"/>
  <c r="X29" i="2"/>
  <c r="X30" i="2"/>
  <c r="X31" i="2"/>
  <c r="X32" i="2"/>
  <c r="X33" i="2"/>
  <c r="X34" i="2"/>
  <c r="X35" i="2"/>
  <c r="X36" i="2"/>
  <c r="X37" i="2"/>
  <c r="X28" i="2"/>
  <c r="X18" i="2"/>
  <c r="X19" i="2"/>
  <c r="X20" i="2"/>
  <c r="X21" i="2"/>
  <c r="X22" i="2"/>
  <c r="X23" i="2"/>
  <c r="X24" i="2"/>
  <c r="X25" i="2"/>
  <c r="X26" i="2"/>
  <c r="X17" i="2"/>
  <c r="X9" i="2"/>
  <c r="X10" i="2"/>
  <c r="X11" i="2"/>
  <c r="X12" i="2"/>
  <c r="X13" i="2"/>
  <c r="X14" i="2"/>
  <c r="X15" i="2"/>
  <c r="X8" i="2"/>
  <c r="W29" i="2"/>
  <c r="W30" i="2"/>
  <c r="W31" i="2"/>
  <c r="W32" i="2"/>
  <c r="W33" i="2"/>
  <c r="W34" i="2"/>
  <c r="W35" i="2"/>
  <c r="W36" i="2"/>
  <c r="W37" i="2"/>
  <c r="W28" i="2"/>
  <c r="W18" i="2"/>
  <c r="W19" i="2"/>
  <c r="W20" i="2"/>
  <c r="W21" i="2"/>
  <c r="W22" i="2"/>
  <c r="W23" i="2"/>
  <c r="W24" i="2"/>
  <c r="W25" i="2"/>
  <c r="W26" i="2"/>
  <c r="W17" i="2"/>
  <c r="W9" i="2"/>
  <c r="W10" i="2"/>
  <c r="W11" i="2"/>
  <c r="W12" i="2"/>
  <c r="W13" i="2"/>
  <c r="W14" i="2"/>
  <c r="W15" i="2"/>
  <c r="W8" i="2"/>
  <c r="V29" i="2"/>
  <c r="V30" i="2"/>
  <c r="V31" i="2"/>
  <c r="V32" i="2"/>
  <c r="V33" i="2"/>
  <c r="V34" i="2"/>
  <c r="V35" i="2"/>
  <c r="V36" i="2"/>
  <c r="V37" i="2"/>
  <c r="V28" i="2"/>
  <c r="V18" i="2"/>
  <c r="V19" i="2"/>
  <c r="V20" i="2"/>
  <c r="V21" i="2"/>
  <c r="V22" i="2"/>
  <c r="V23" i="2"/>
  <c r="V24" i="2"/>
  <c r="V25" i="2"/>
  <c r="V26" i="2"/>
  <c r="V17" i="2"/>
  <c r="V12" i="2"/>
  <c r="V9" i="2"/>
  <c r="V10" i="2"/>
  <c r="V11" i="2"/>
  <c r="V13" i="2"/>
  <c r="V14" i="2"/>
  <c r="V15" i="2"/>
  <c r="V8" i="2"/>
  <c r="L30" i="2"/>
  <c r="L31" i="2" s="1"/>
  <c r="L32" i="2" s="1"/>
  <c r="L33" i="2" s="1"/>
  <c r="L34" i="2" s="1"/>
  <c r="L35" i="2" s="1"/>
  <c r="L36" i="2" s="1"/>
  <c r="L37" i="2" s="1"/>
  <c r="L29" i="2"/>
  <c r="L28" i="2"/>
  <c r="T18" i="2"/>
  <c r="T17" i="2"/>
  <c r="R18" i="2"/>
  <c r="R17" i="2"/>
  <c r="P18" i="2"/>
  <c r="P17" i="2"/>
  <c r="O18" i="2"/>
  <c r="O17" i="2"/>
  <c r="N18" i="2"/>
  <c r="N17" i="2"/>
  <c r="L18" i="2"/>
  <c r="L19" i="2" s="1"/>
  <c r="L20" i="2" s="1"/>
  <c r="L21" i="2" s="1"/>
  <c r="L22" i="2" s="1"/>
  <c r="L23" i="2" s="1"/>
  <c r="L24" i="2" s="1"/>
  <c r="L25" i="2" s="1"/>
  <c r="L26" i="2" s="1"/>
  <c r="L17" i="2"/>
  <c r="T10" i="2"/>
  <c r="T11" i="2" s="1"/>
  <c r="T12" i="2" s="1"/>
  <c r="T13" i="2" s="1"/>
  <c r="T14" i="2" s="1"/>
  <c r="T15" i="2" s="1"/>
  <c r="S10" i="2"/>
  <c r="S11" i="2" s="1"/>
  <c r="S12" i="2" s="1"/>
  <c r="S13" i="2" s="1"/>
  <c r="S14" i="2" s="1"/>
  <c r="S15" i="2" s="1"/>
  <c r="R10" i="2"/>
  <c r="R11" i="2" s="1"/>
  <c r="R12" i="2" s="1"/>
  <c r="R13" i="2" s="1"/>
  <c r="R14" i="2" s="1"/>
  <c r="R15" i="2" s="1"/>
  <c r="P10" i="2"/>
  <c r="P11" i="2" s="1"/>
  <c r="P12" i="2" s="1"/>
  <c r="P13" i="2" s="1"/>
  <c r="P14" i="2" s="1"/>
  <c r="P15" i="2" s="1"/>
  <c r="O10" i="2"/>
  <c r="O11" i="2" s="1"/>
  <c r="O12" i="2" s="1"/>
  <c r="O13" i="2" s="1"/>
  <c r="O14" i="2" s="1"/>
  <c r="O15" i="2" s="1"/>
  <c r="N10" i="2"/>
  <c r="N11" i="2" s="1"/>
  <c r="N12" i="2" s="1"/>
  <c r="N13" i="2" s="1"/>
  <c r="N14" i="2" s="1"/>
  <c r="N15" i="2" s="1"/>
  <c r="L10" i="2"/>
  <c r="L11" i="2" s="1"/>
  <c r="L12" i="2" s="1"/>
  <c r="L13" i="2" s="1"/>
  <c r="L14" i="2" s="1"/>
  <c r="L15" i="2" s="1"/>
  <c r="BJ10" i="2" l="1"/>
  <c r="BK10" i="2" s="1"/>
  <c r="BJ18" i="2"/>
  <c r="BK18" i="2" s="1"/>
  <c r="BJ9" i="2"/>
  <c r="BK9" i="2" s="1"/>
  <c r="BJ17" i="2"/>
  <c r="BJ15" i="2"/>
  <c r="BK15" i="2" s="1"/>
  <c r="BJ12" i="2"/>
  <c r="BK12" i="2" s="1"/>
  <c r="BJ29" i="2"/>
  <c r="BK29" i="2" s="1"/>
  <c r="BJ11" i="2"/>
  <c r="BK11" i="2" s="1"/>
  <c r="BJ8" i="2"/>
  <c r="BJ28" i="2"/>
  <c r="BJ19" i="2"/>
  <c r="BK19" i="2" s="1"/>
  <c r="AI32" i="2"/>
  <c r="AS32" i="2" s="1"/>
  <c r="BC32" i="2" s="1"/>
  <c r="AI34" i="2"/>
  <c r="AS34" i="2" s="1"/>
  <c r="BC34" i="2" s="1"/>
  <c r="AI36" i="2"/>
  <c r="AS36" i="2" s="1"/>
  <c r="BC36" i="2" s="1"/>
  <c r="AI30" i="2"/>
  <c r="AS30" i="2" s="1"/>
  <c r="BC30" i="2" s="1"/>
  <c r="AI35" i="2"/>
  <c r="AS35" i="2" s="1"/>
  <c r="BC35" i="2" s="1"/>
  <c r="AI33" i="2"/>
  <c r="AS33" i="2" s="1"/>
  <c r="BC33" i="2" s="1"/>
  <c r="AI31" i="2"/>
  <c r="AS31" i="2" s="1"/>
  <c r="BC31" i="2" s="1"/>
  <c r="AJ37" i="2"/>
  <c r="AT37" i="2" s="1"/>
  <c r="BD37" i="2" s="1"/>
  <c r="AJ34" i="2"/>
  <c r="AT34" i="2" s="1"/>
  <c r="BD34" i="2" s="1"/>
  <c r="AJ35" i="2"/>
  <c r="AT35" i="2" s="1"/>
  <c r="BD35" i="2" s="1"/>
  <c r="AJ31" i="2"/>
  <c r="AT31" i="2" s="1"/>
  <c r="BD31" i="2" s="1"/>
  <c r="AJ30" i="2"/>
  <c r="AT30" i="2" s="1"/>
  <c r="BD30" i="2" s="1"/>
  <c r="AJ36" i="2"/>
  <c r="AT36" i="2" s="1"/>
  <c r="BD36" i="2" s="1"/>
  <c r="AJ32" i="2"/>
  <c r="AT32" i="2" s="1"/>
  <c r="BD32" i="2" s="1"/>
  <c r="AJ33" i="2"/>
  <c r="AT33" i="2" s="1"/>
  <c r="BD33" i="2" s="1"/>
  <c r="AK36" i="2"/>
  <c r="AU36" i="2" s="1"/>
  <c r="BE36" i="2" s="1"/>
  <c r="AK35" i="2"/>
  <c r="AU35" i="2" s="1"/>
  <c r="BE35" i="2" s="1"/>
  <c r="AK34" i="2"/>
  <c r="AU34" i="2" s="1"/>
  <c r="BE34" i="2" s="1"/>
  <c r="AK33" i="2"/>
  <c r="AU33" i="2" s="1"/>
  <c r="BE33" i="2" s="1"/>
  <c r="AK32" i="2"/>
  <c r="AU32" i="2" s="1"/>
  <c r="BE32" i="2" s="1"/>
  <c r="AK31" i="2"/>
  <c r="AU31" i="2" s="1"/>
  <c r="BE31" i="2" s="1"/>
  <c r="AK30" i="2"/>
  <c r="AU30" i="2" s="1"/>
  <c r="BE30" i="2" s="1"/>
  <c r="S31" i="2"/>
  <c r="S32" i="2" s="1"/>
  <c r="S33" i="2" s="1"/>
  <c r="S34" i="2" s="1"/>
  <c r="S35" i="2" s="1"/>
  <c r="S36" i="2" s="1"/>
  <c r="S37" i="2" s="1"/>
  <c r="AN37" i="2" s="1"/>
  <c r="AX37" i="2" s="1"/>
  <c r="BH37" i="2" s="1"/>
  <c r="AN34" i="2"/>
  <c r="AX34" i="2" s="1"/>
  <c r="BH34" i="2" s="1"/>
  <c r="AN35" i="2"/>
  <c r="AX35" i="2" s="1"/>
  <c r="BH35" i="2" s="1"/>
  <c r="AN31" i="2"/>
  <c r="AX31" i="2" s="1"/>
  <c r="BH31" i="2" s="1"/>
  <c r="AN36" i="2"/>
  <c r="AX36" i="2" s="1"/>
  <c r="BH36" i="2" s="1"/>
  <c r="AN32" i="2"/>
  <c r="AX32" i="2" s="1"/>
  <c r="BH32" i="2" s="1"/>
  <c r="AN33" i="2"/>
  <c r="AX33" i="2" s="1"/>
  <c r="BH33" i="2" s="1"/>
  <c r="T37" i="2"/>
  <c r="AO37" i="2" s="1"/>
  <c r="AY37" i="2" s="1"/>
  <c r="BI37" i="2" s="1"/>
  <c r="AO36" i="2"/>
  <c r="AY36" i="2" s="1"/>
  <c r="BI36" i="2" s="1"/>
  <c r="AO35" i="2"/>
  <c r="AY35" i="2" s="1"/>
  <c r="BI35" i="2" s="1"/>
  <c r="AO34" i="2"/>
  <c r="AY34" i="2" s="1"/>
  <c r="BI34" i="2" s="1"/>
  <c r="AO33" i="2"/>
  <c r="AY33" i="2" s="1"/>
  <c r="BI33" i="2" s="1"/>
  <c r="AO32" i="2"/>
  <c r="AY32" i="2" s="1"/>
  <c r="BI32" i="2" s="1"/>
  <c r="AO31" i="2"/>
  <c r="AY31" i="2" s="1"/>
  <c r="BI31" i="2" s="1"/>
  <c r="Q2" i="2"/>
  <c r="M2" i="2"/>
  <c r="BJ16" i="2" l="1"/>
  <c r="BK16" i="2" s="1"/>
  <c r="BK17" i="2"/>
  <c r="BK8" i="2"/>
  <c r="BK28" i="2"/>
  <c r="AM30" i="2"/>
  <c r="AW30" i="2" s="1"/>
  <c r="BG30" i="2" s="1"/>
  <c r="M10" i="2"/>
  <c r="M11" i="2" s="1"/>
  <c r="M12" i="2" s="1"/>
  <c r="M13" i="2" s="1"/>
  <c r="M14" i="2" s="1"/>
  <c r="M15" i="2" s="1"/>
  <c r="M18" i="2"/>
  <c r="M19" i="2" s="1"/>
  <c r="M20" i="2" s="1"/>
  <c r="M21" i="2" s="1"/>
  <c r="M22" i="2" s="1"/>
  <c r="M23" i="2" s="1"/>
  <c r="M24" i="2" s="1"/>
  <c r="M25" i="2" s="1"/>
  <c r="M26" i="2" s="1"/>
  <c r="M17" i="2"/>
  <c r="M29" i="2"/>
  <c r="M28" i="2"/>
  <c r="Q10" i="2"/>
  <c r="Q11" i="2" s="1"/>
  <c r="Q12" i="2" s="1"/>
  <c r="Q13" i="2" s="1"/>
  <c r="Q14" i="2" s="1"/>
  <c r="Q15" i="2" s="1"/>
  <c r="Q18" i="2"/>
  <c r="Q17" i="2"/>
  <c r="AH31" i="2" l="1"/>
  <c r="AR31" i="2" s="1"/>
  <c r="BB31" i="2" s="1"/>
  <c r="AI20" i="2"/>
  <c r="AS20" i="2" s="1"/>
  <c r="BC20" i="2" s="1"/>
  <c r="AJ20" i="2"/>
  <c r="AT20" i="2" s="1"/>
  <c r="BD20" i="2" s="1"/>
  <c r="AK20" i="2"/>
  <c r="AU20" i="2" s="1"/>
  <c r="BE20" i="2" s="1"/>
  <c r="AL30" i="2"/>
  <c r="AV30" i="2" s="1"/>
  <c r="BF30" i="2" s="1"/>
  <c r="BJ30" i="2" s="1"/>
  <c r="AL20" i="2"/>
  <c r="AV20" i="2" s="1"/>
  <c r="BF20" i="2" s="1"/>
  <c r="AM31" i="2"/>
  <c r="AW31" i="2" s="1"/>
  <c r="BG31" i="2" s="1"/>
  <c r="AM20" i="2"/>
  <c r="AW20" i="2" s="1"/>
  <c r="BG20" i="2" s="1"/>
  <c r="AN20" i="2"/>
  <c r="AX20" i="2" s="1"/>
  <c r="BH20" i="2" s="1"/>
  <c r="AO20" i="2"/>
  <c r="AY20" i="2" s="1"/>
  <c r="BI20" i="2" s="1"/>
  <c r="BK30" i="2" l="1"/>
  <c r="BJ20" i="2"/>
  <c r="AH32" i="2"/>
  <c r="AR32" i="2" s="1"/>
  <c r="BB32" i="2" s="1"/>
  <c r="AI21" i="2"/>
  <c r="AS21" i="2" s="1"/>
  <c r="BC21" i="2" s="1"/>
  <c r="AJ21" i="2"/>
  <c r="AT21" i="2" s="1"/>
  <c r="BD21" i="2" s="1"/>
  <c r="AK21" i="2"/>
  <c r="AU21" i="2" s="1"/>
  <c r="BE21" i="2" s="1"/>
  <c r="AL31" i="2"/>
  <c r="AV31" i="2" s="1"/>
  <c r="BF31" i="2" s="1"/>
  <c r="BJ31" i="2" s="1"/>
  <c r="BK31" i="2" s="1"/>
  <c r="AL21" i="2"/>
  <c r="AV21" i="2" s="1"/>
  <c r="BF21" i="2" s="1"/>
  <c r="AM32" i="2"/>
  <c r="AW32" i="2" s="1"/>
  <c r="BG32" i="2" s="1"/>
  <c r="AM21" i="2"/>
  <c r="AW21" i="2" s="1"/>
  <c r="BG21" i="2" s="1"/>
  <c r="AN21" i="2"/>
  <c r="AX21" i="2" s="1"/>
  <c r="BH21" i="2" s="1"/>
  <c r="AO21" i="2"/>
  <c r="AY21" i="2" s="1"/>
  <c r="BI21" i="2" s="1"/>
  <c r="BK20" i="2" l="1"/>
  <c r="BJ21" i="2"/>
  <c r="BK21" i="2" s="1"/>
  <c r="AH33" i="2"/>
  <c r="AR33" i="2" s="1"/>
  <c r="BB33" i="2" s="1"/>
  <c r="AI22" i="2"/>
  <c r="AS22" i="2" s="1"/>
  <c r="BC22" i="2" s="1"/>
  <c r="AJ22" i="2"/>
  <c r="AT22" i="2" s="1"/>
  <c r="BD22" i="2" s="1"/>
  <c r="AK22" i="2"/>
  <c r="AU22" i="2" s="1"/>
  <c r="BE22" i="2" s="1"/>
  <c r="AL32" i="2"/>
  <c r="AV32" i="2" s="1"/>
  <c r="BF32" i="2" s="1"/>
  <c r="BJ32" i="2" s="1"/>
  <c r="AL22" i="2"/>
  <c r="AV22" i="2" s="1"/>
  <c r="BF22" i="2" s="1"/>
  <c r="AM33" i="2"/>
  <c r="AW33" i="2" s="1"/>
  <c r="BG33" i="2" s="1"/>
  <c r="AM22" i="2"/>
  <c r="AW22" i="2" s="1"/>
  <c r="BG22" i="2" s="1"/>
  <c r="AN22" i="2"/>
  <c r="AX22" i="2" s="1"/>
  <c r="BH22" i="2" s="1"/>
  <c r="AO22" i="2"/>
  <c r="AY22" i="2" s="1"/>
  <c r="BI22" i="2" s="1"/>
  <c r="BK32" i="2" l="1"/>
  <c r="BJ22" i="2"/>
  <c r="BK22" i="2" s="1"/>
  <c r="AH34" i="2"/>
  <c r="AR34" i="2" s="1"/>
  <c r="BB34" i="2" s="1"/>
  <c r="AI23" i="2"/>
  <c r="AS23" i="2" s="1"/>
  <c r="BC23" i="2" s="1"/>
  <c r="AJ23" i="2"/>
  <c r="AT23" i="2" s="1"/>
  <c r="BD23" i="2" s="1"/>
  <c r="AK23" i="2"/>
  <c r="AU23" i="2" s="1"/>
  <c r="BE23" i="2" s="1"/>
  <c r="AL33" i="2"/>
  <c r="AV33" i="2" s="1"/>
  <c r="BF33" i="2" s="1"/>
  <c r="BJ33" i="2" s="1"/>
  <c r="BK33" i="2" s="1"/>
  <c r="AL23" i="2"/>
  <c r="AV23" i="2" s="1"/>
  <c r="BF23" i="2" s="1"/>
  <c r="AM34" i="2"/>
  <c r="AW34" i="2" s="1"/>
  <c r="BG34" i="2" s="1"/>
  <c r="AM23" i="2"/>
  <c r="AW23" i="2" s="1"/>
  <c r="BG23" i="2" s="1"/>
  <c r="AN23" i="2"/>
  <c r="AX23" i="2" s="1"/>
  <c r="BH23" i="2" s="1"/>
  <c r="AO23" i="2"/>
  <c r="AY23" i="2" s="1"/>
  <c r="BI23" i="2" s="1"/>
  <c r="BJ23" i="2" l="1"/>
  <c r="BK23" i="2" s="1"/>
  <c r="AH35" i="2"/>
  <c r="AR35" i="2" s="1"/>
  <c r="BB35" i="2" s="1"/>
  <c r="AI24" i="2"/>
  <c r="AS24" i="2" s="1"/>
  <c r="BC24" i="2" s="1"/>
  <c r="AJ24" i="2"/>
  <c r="AT24" i="2" s="1"/>
  <c r="BD24" i="2" s="1"/>
  <c r="AK24" i="2"/>
  <c r="AU24" i="2" s="1"/>
  <c r="BE24" i="2" s="1"/>
  <c r="AL34" i="2"/>
  <c r="AV34" i="2" s="1"/>
  <c r="BF34" i="2" s="1"/>
  <c r="BJ34" i="2" s="1"/>
  <c r="BK34" i="2" s="1"/>
  <c r="AL24" i="2"/>
  <c r="AV24" i="2" s="1"/>
  <c r="BF24" i="2" s="1"/>
  <c r="AM35" i="2"/>
  <c r="AW35" i="2" s="1"/>
  <c r="BG35" i="2" s="1"/>
  <c r="AM24" i="2"/>
  <c r="AW24" i="2" s="1"/>
  <c r="BG24" i="2" s="1"/>
  <c r="AN24" i="2"/>
  <c r="AX24" i="2" s="1"/>
  <c r="BH24" i="2" s="1"/>
  <c r="AO24" i="2"/>
  <c r="AY24" i="2" s="1"/>
  <c r="BI24" i="2" s="1"/>
  <c r="BJ24" i="2" l="1"/>
  <c r="AH37" i="2"/>
  <c r="AR37" i="2" s="1"/>
  <c r="BB37" i="2" s="1"/>
  <c r="AH36" i="2"/>
  <c r="AR36" i="2" s="1"/>
  <c r="BB36" i="2" s="1"/>
  <c r="AI26" i="2"/>
  <c r="AS26" i="2" s="1"/>
  <c r="BC26" i="2" s="1"/>
  <c r="AI25" i="2"/>
  <c r="AS25" i="2" s="1"/>
  <c r="BC25" i="2" s="1"/>
  <c r="AJ26" i="2"/>
  <c r="AT26" i="2" s="1"/>
  <c r="BD26" i="2" s="1"/>
  <c r="AJ25" i="2"/>
  <c r="AT25" i="2" s="1"/>
  <c r="BD25" i="2" s="1"/>
  <c r="AK26" i="2"/>
  <c r="AU26" i="2" s="1"/>
  <c r="BE26" i="2" s="1"/>
  <c r="AK25" i="2"/>
  <c r="AU25" i="2" s="1"/>
  <c r="BE25" i="2" s="1"/>
  <c r="AL35" i="2"/>
  <c r="AV35" i="2" s="1"/>
  <c r="BF35" i="2" s="1"/>
  <c r="BJ35" i="2" s="1"/>
  <c r="BK35" i="2" s="1"/>
  <c r="AL26" i="2"/>
  <c r="AV26" i="2" s="1"/>
  <c r="BF26" i="2" s="1"/>
  <c r="AL25" i="2"/>
  <c r="AV25" i="2" s="1"/>
  <c r="BF25" i="2" s="1"/>
  <c r="AM37" i="2"/>
  <c r="AW37" i="2" s="1"/>
  <c r="BG37" i="2" s="1"/>
  <c r="AM36" i="2"/>
  <c r="AW36" i="2" s="1"/>
  <c r="BG36" i="2" s="1"/>
  <c r="AM26" i="2"/>
  <c r="AW26" i="2" s="1"/>
  <c r="BG26" i="2" s="1"/>
  <c r="AM25" i="2"/>
  <c r="AW25" i="2" s="1"/>
  <c r="BG25" i="2" s="1"/>
  <c r="AN26" i="2"/>
  <c r="AX26" i="2" s="1"/>
  <c r="BH26" i="2" s="1"/>
  <c r="AN25" i="2"/>
  <c r="AX25" i="2" s="1"/>
  <c r="BH25" i="2" s="1"/>
  <c r="AO26" i="2"/>
  <c r="AY26" i="2" s="1"/>
  <c r="BI26" i="2" s="1"/>
  <c r="AO25" i="2"/>
  <c r="AY25" i="2" s="1"/>
  <c r="BI25" i="2" s="1"/>
  <c r="BJ25" i="2" l="1"/>
  <c r="BK25" i="2" s="1"/>
  <c r="BJ26" i="2"/>
  <c r="BK26" i="2" s="1"/>
  <c r="BK24" i="2"/>
  <c r="AL37" i="2"/>
  <c r="AV37" i="2" s="1"/>
  <c r="BF37" i="2" s="1"/>
  <c r="BJ37" i="2" s="1"/>
  <c r="AL36" i="2"/>
  <c r="AV36" i="2" s="1"/>
  <c r="BF36" i="2" s="1"/>
  <c r="BJ36" i="2" s="1"/>
  <c r="BK36" i="2" s="1"/>
  <c r="BK37" i="2" l="1"/>
  <c r="BJ38" i="2"/>
  <c r="BK38" i="2" s="1"/>
  <c r="BJ27" i="2"/>
  <c r="BK27" i="2" s="1"/>
</calcChain>
</file>

<file path=xl/sharedStrings.xml><?xml version="1.0" encoding="utf-8"?>
<sst xmlns="http://schemas.openxmlformats.org/spreadsheetml/2006/main" count="95" uniqueCount="55">
  <si>
    <t>Fuel</t>
  </si>
  <si>
    <t>Gasoline 91</t>
  </si>
  <si>
    <t>Gasoline 95</t>
  </si>
  <si>
    <t>Diesel</t>
  </si>
  <si>
    <t>Gases</t>
  </si>
  <si>
    <t>Income elasticity</t>
  </si>
  <si>
    <t>Price elasticity</t>
  </si>
  <si>
    <t>Year</t>
  </si>
  <si>
    <t>Q95 (Th.Liters)</t>
  </si>
  <si>
    <t>Q91E10 (Th.Liters)</t>
  </si>
  <si>
    <t>QE10 (Th.Liters)</t>
  </si>
  <si>
    <t>QE20 (Th.Liters)</t>
  </si>
  <si>
    <t>QE85 (Th.Liters)</t>
  </si>
  <si>
    <t>QD (Th.Liters)</t>
  </si>
  <si>
    <t>QL (Th.Liters)</t>
  </si>
  <si>
    <t>QN (Th.Kgs)</t>
  </si>
  <si>
    <t>Projected retail fuel prices (Baht/Liter except NGV Baht/Kg)</t>
  </si>
  <si>
    <t>Current tax rates (Baht/unit)</t>
  </si>
  <si>
    <t>Quantities</t>
  </si>
  <si>
    <t>Prices (Baht/unit)</t>
  </si>
  <si>
    <t>QF (Th.Liters)</t>
  </si>
  <si>
    <t>PN (฿/Kg)</t>
  </si>
  <si>
    <t>P95
(฿ /Liters)</t>
  </si>
  <si>
    <t>P91E10
(฿ /Liters)</t>
  </si>
  <si>
    <t>PE10
(฿ /Liters)</t>
  </si>
  <si>
    <t>PE20
(฿ /Liters)</t>
  </si>
  <si>
    <t>PE85
(฿ /Liters)</t>
  </si>
  <si>
    <t>PD
(฿ /Liters)</t>
  </si>
  <si>
    <t>PL
(฿ /Liters)</t>
  </si>
  <si>
    <t>PF
(฿ /Liters)</t>
  </si>
  <si>
    <t>C95</t>
  </si>
  <si>
    <t>C91</t>
  </si>
  <si>
    <t>CE10</t>
  </si>
  <si>
    <t>CE20</t>
  </si>
  <si>
    <t>CE85</t>
  </si>
  <si>
    <t>CD</t>
  </si>
  <si>
    <t>CN</t>
  </si>
  <si>
    <t>CF</t>
  </si>
  <si>
    <t>CL</t>
  </si>
  <si>
    <t>-</t>
  </si>
  <si>
    <t xml:space="preserve">Carbon emissions (C) </t>
  </si>
  <si>
    <t>Carbon conversion factors (tC/Thounsand units)</t>
  </si>
  <si>
    <t>BAU Carbon emissions (tC)</t>
  </si>
  <si>
    <t xml:space="preserve">Initial projected quantity demanded of each fuel </t>
  </si>
  <si>
    <t xml:space="preserve">New quantity demanded of each fuel after appling the carbon tax </t>
  </si>
  <si>
    <t>tc =</t>
  </si>
  <si>
    <t>Carbon tax rate</t>
  </si>
  <si>
    <t>New Carbon emissions (tC)</t>
  </si>
  <si>
    <t xml:space="preserve">Carbon emissions (Ct) </t>
  </si>
  <si>
    <t>Ct/C</t>
  </si>
  <si>
    <t>Price elasticities</t>
  </si>
  <si>
    <t xml:space="preserve">New carbon emissions of each fuel after appling the carbon tax </t>
  </si>
  <si>
    <t>BAU</t>
  </si>
  <si>
    <t>SUM</t>
  </si>
  <si>
    <t>Carbon Tax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</si>
</sst>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0.000%"/>
    <numFmt numFmtId="165" formatCode="0.00000"/>
    <numFmt numFmtId="166" formatCode="0.0000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color indexed="8"/>
      <name val="TH SarabunPSK"/>
      <family val="2"/>
    </font>
    <font>
      <b/>
      <sz val="16"/>
      <name val="TH SarabunPSK"/>
      <family val="2"/>
    </font>
    <font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7" fillId="0" borderId="0"/>
    <xf numFmtId="0" fontId="3" fillId="0" borderId="0"/>
  </cellStyleXfs>
  <cellXfs count="73">
    <xf numFmtId="0" fontId="0" fillId="0" borderId="0" xfId="0"/>
    <xf numFmtId="0" fontId="5" fillId="0" borderId="5" xfId="3" applyFont="1" applyBorder="1" applyAlignment="1">
      <alignment vertical="top"/>
    </xf>
    <xf numFmtId="0" fontId="6" fillId="0" borderId="6" xfId="3" applyFont="1" applyBorder="1" applyAlignment="1">
      <alignment horizontal="center" wrapText="1"/>
    </xf>
    <xf numFmtId="0" fontId="6" fillId="2" borderId="7" xfId="0" applyFont="1" applyFill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0" fontId="6" fillId="2" borderId="5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wrapText="1"/>
    </xf>
    <xf numFmtId="0" fontId="2" fillId="0" borderId="0" xfId="0" applyFont="1"/>
    <xf numFmtId="10" fontId="0" fillId="0" borderId="0" xfId="2" applyNumberFormat="1" applyFont="1"/>
    <xf numFmtId="43" fontId="0" fillId="0" borderId="8" xfId="1" applyFont="1" applyBorder="1"/>
    <xf numFmtId="0" fontId="0" fillId="0" borderId="0" xfId="0" applyFont="1"/>
    <xf numFmtId="0" fontId="0" fillId="3" borderId="9" xfId="0" applyFont="1" applyFill="1" applyBorder="1"/>
    <xf numFmtId="10" fontId="0" fillId="0" borderId="8" xfId="2" applyNumberFormat="1" applyFont="1" applyBorder="1"/>
    <xf numFmtId="164" fontId="9" fillId="0" borderId="8" xfId="2" applyNumberFormat="1" applyFont="1" applyFill="1" applyBorder="1" applyAlignment="1">
      <alignment horizontal="center"/>
    </xf>
    <xf numFmtId="166" fontId="8" fillId="0" borderId="8" xfId="6" applyNumberFormat="1" applyFont="1" applyBorder="1"/>
    <xf numFmtId="166" fontId="8" fillId="0" borderId="8" xfId="4" applyNumberFormat="1" applyFont="1" applyBorder="1"/>
    <xf numFmtId="2" fontId="8" fillId="0" borderId="8" xfId="4" applyNumberFormat="1" applyFont="1" applyBorder="1"/>
    <xf numFmtId="164" fontId="9" fillId="0" borderId="0" xfId="2" applyNumberFormat="1" applyFont="1" applyFill="1" applyAlignment="1">
      <alignment horizontal="center"/>
    </xf>
    <xf numFmtId="166" fontId="8" fillId="0" borderId="0" xfId="6" applyNumberFormat="1" applyFont="1" applyBorder="1"/>
    <xf numFmtId="166" fontId="8" fillId="0" borderId="0" xfId="4" applyNumberFormat="1" applyFont="1" applyBorder="1"/>
    <xf numFmtId="2" fontId="8" fillId="0" borderId="0" xfId="4" applyNumberFormat="1" applyFont="1" applyBorder="1"/>
    <xf numFmtId="0" fontId="8" fillId="0" borderId="0" xfId="4" applyFont="1"/>
    <xf numFmtId="0" fontId="9" fillId="0" borderId="8" xfId="4" applyFont="1" applyBorder="1" applyAlignment="1">
      <alignment horizontal="center"/>
    </xf>
    <xf numFmtId="0" fontId="9" fillId="0" borderId="8" xfId="4" applyFont="1" applyBorder="1" applyAlignment="1">
      <alignment horizontal="center" wrapText="1"/>
    </xf>
    <xf numFmtId="43" fontId="9" fillId="0" borderId="8" xfId="1" applyFont="1" applyBorder="1"/>
    <xf numFmtId="2" fontId="9" fillId="0" borderId="8" xfId="1" applyNumberFormat="1" applyFont="1" applyFill="1" applyBorder="1" applyAlignment="1">
      <alignment horizontal="center"/>
    </xf>
    <xf numFmtId="2" fontId="9" fillId="0" borderId="8" xfId="1" applyNumberFormat="1" applyFont="1" applyBorder="1" applyAlignment="1">
      <alignment horizontal="center"/>
    </xf>
    <xf numFmtId="2" fontId="9" fillId="0" borderId="8" xfId="5" applyNumberFormat="1" applyFont="1" applyBorder="1" applyAlignment="1">
      <alignment horizontal="center"/>
    </xf>
    <xf numFmtId="2" fontId="0" fillId="0" borderId="8" xfId="0" applyNumberFormat="1" applyFont="1" applyBorder="1" applyAlignment="1">
      <alignment horizontal="center"/>
    </xf>
    <xf numFmtId="0" fontId="0" fillId="0" borderId="0" xfId="0" applyFont="1" applyBorder="1"/>
    <xf numFmtId="0" fontId="0" fillId="0" borderId="0" xfId="0" applyFont="1" applyAlignment="1">
      <alignment horizontal="center"/>
    </xf>
    <xf numFmtId="0" fontId="10" fillId="0" borderId="8" xfId="4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3" fontId="10" fillId="0" borderId="8" xfId="1" applyFont="1" applyFill="1" applyBorder="1" applyAlignment="1">
      <alignment horizontal="center" vertical="center" wrapText="1"/>
    </xf>
    <xf numFmtId="43" fontId="0" fillId="0" borderId="0" xfId="0" applyNumberFormat="1" applyFont="1"/>
    <xf numFmtId="43" fontId="0" fillId="0" borderId="0" xfId="1" applyFont="1"/>
    <xf numFmtId="165" fontId="8" fillId="0" borderId="8" xfId="6" applyNumberFormat="1" applyFont="1" applyBorder="1"/>
    <xf numFmtId="165" fontId="8" fillId="0" borderId="8" xfId="4" applyNumberFormat="1" applyFont="1" applyBorder="1"/>
    <xf numFmtId="0" fontId="0" fillId="0" borderId="8" xfId="0" applyFont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0" fillId="6" borderId="0" xfId="0" applyFont="1" applyFill="1"/>
    <xf numFmtId="164" fontId="9" fillId="0" borderId="0" xfId="2" applyNumberFormat="1" applyFont="1" applyFill="1" applyBorder="1" applyAlignment="1">
      <alignment horizontal="center"/>
    </xf>
    <xf numFmtId="10" fontId="0" fillId="0" borderId="0" xfId="2" applyNumberFormat="1" applyFont="1" applyBorder="1"/>
    <xf numFmtId="165" fontId="8" fillId="0" borderId="0" xfId="6" applyNumberFormat="1" applyFont="1" applyBorder="1"/>
    <xf numFmtId="165" fontId="8" fillId="0" borderId="0" xfId="4" applyNumberFormat="1" applyFont="1" applyBorder="1"/>
    <xf numFmtId="0" fontId="0" fillId="0" borderId="0" xfId="0" applyFont="1" applyBorder="1" applyAlignment="1">
      <alignment horizontal="center" vertical="center"/>
    </xf>
    <xf numFmtId="0" fontId="4" fillId="0" borderId="1" xfId="3" applyFont="1" applyBorder="1" applyAlignment="1">
      <alignment horizontal="center"/>
    </xf>
    <xf numFmtId="0" fontId="4" fillId="0" borderId="5" xfId="3" applyFont="1" applyBorder="1" applyAlignment="1">
      <alignment horizontal="center"/>
    </xf>
    <xf numFmtId="0" fontId="5" fillId="0" borderId="1" xfId="3" applyFont="1" applyBorder="1" applyAlignment="1">
      <alignment horizontal="center" vertical="top" wrapText="1"/>
    </xf>
    <xf numFmtId="0" fontId="5" fillId="0" borderId="5" xfId="3" applyFont="1" applyBorder="1" applyAlignment="1">
      <alignment horizontal="center" vertical="top" wrapText="1"/>
    </xf>
    <xf numFmtId="0" fontId="5" fillId="0" borderId="2" xfId="3" applyFont="1" applyBorder="1" applyAlignment="1">
      <alignment horizontal="center" vertical="top" wrapText="1"/>
    </xf>
    <xf numFmtId="0" fontId="5" fillId="0" borderId="3" xfId="3" applyFont="1" applyBorder="1" applyAlignment="1">
      <alignment horizontal="center" vertical="top" wrapText="1"/>
    </xf>
    <xf numFmtId="0" fontId="5" fillId="0" borderId="4" xfId="3" applyFont="1" applyBorder="1" applyAlignment="1">
      <alignment horizontal="center" vertical="top" wrapText="1"/>
    </xf>
    <xf numFmtId="0" fontId="0" fillId="8" borderId="0" xfId="0" applyFont="1" applyFill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0" fillId="5" borderId="0" xfId="0" applyFont="1" applyFill="1" applyAlignment="1">
      <alignment horizontal="center"/>
    </xf>
    <xf numFmtId="0" fontId="8" fillId="2" borderId="10" xfId="4" applyFont="1" applyFill="1" applyBorder="1" applyAlignment="1">
      <alignment horizontal="center"/>
    </xf>
    <xf numFmtId="0" fontId="8" fillId="2" borderId="9" xfId="4" applyFont="1" applyFill="1" applyBorder="1" applyAlignment="1">
      <alignment horizontal="center"/>
    </xf>
    <xf numFmtId="0" fontId="0" fillId="7" borderId="0" xfId="0" applyFont="1" applyFill="1" applyAlignment="1">
      <alignment horizontal="center"/>
    </xf>
    <xf numFmtId="0" fontId="8" fillId="2" borderId="11" xfId="4" applyFont="1" applyFill="1" applyBorder="1" applyAlignment="1">
      <alignment horizontal="center"/>
    </xf>
    <xf numFmtId="0" fontId="8" fillId="2" borderId="12" xfId="4" applyFont="1" applyFill="1" applyBorder="1" applyAlignment="1">
      <alignment horizontal="center"/>
    </xf>
    <xf numFmtId="2" fontId="0" fillId="0" borderId="0" xfId="0" applyNumberFormat="1" applyFont="1" applyAlignment="1">
      <alignment horizontal="center"/>
    </xf>
    <xf numFmtId="0" fontId="11" fillId="0" borderId="0" xfId="0" applyFont="1"/>
  </cellXfs>
  <cellStyles count="7">
    <cellStyle name="Comma" xfId="1" builtinId="3"/>
    <cellStyle name="Normal" xfId="0" builtinId="0"/>
    <cellStyle name="Normal_C-tax 95%" xfId="6"/>
    <cellStyle name="Normal_C-tax 95%_1" xfId="5"/>
    <cellStyle name="Normal_Elasticity" xfId="3"/>
    <cellStyle name="Normal_Sheet1" xfId="4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D4" sqref="D4"/>
    </sheetView>
  </sheetViews>
  <sheetFormatPr defaultColWidth="11" defaultRowHeight="15.75" x14ac:dyDescent="0.25"/>
  <cols>
    <col min="1" max="1" width="13.625" customWidth="1"/>
    <col min="2" max="2" width="8.875" customWidth="1"/>
    <col min="3" max="3" width="12.625" customWidth="1"/>
    <col min="4" max="256" width="8.875" customWidth="1"/>
    <col min="257" max="257" width="13.625" customWidth="1"/>
    <col min="258" max="258" width="8.875" customWidth="1"/>
    <col min="259" max="259" width="12.625" customWidth="1"/>
    <col min="260" max="512" width="8.875" customWidth="1"/>
    <col min="513" max="513" width="13.625" customWidth="1"/>
    <col min="514" max="514" width="8.875" customWidth="1"/>
    <col min="515" max="515" width="12.625" customWidth="1"/>
    <col min="516" max="768" width="8.875" customWidth="1"/>
    <col min="769" max="769" width="13.625" customWidth="1"/>
    <col min="770" max="770" width="8.875" customWidth="1"/>
    <col min="771" max="771" width="12.625" customWidth="1"/>
    <col min="772" max="1024" width="8.875" customWidth="1"/>
    <col min="1025" max="1025" width="13.625" customWidth="1"/>
    <col min="1026" max="1026" width="8.875" customWidth="1"/>
    <col min="1027" max="1027" width="12.625" customWidth="1"/>
    <col min="1028" max="1280" width="8.875" customWidth="1"/>
    <col min="1281" max="1281" width="13.625" customWidth="1"/>
    <col min="1282" max="1282" width="8.875" customWidth="1"/>
    <col min="1283" max="1283" width="12.625" customWidth="1"/>
    <col min="1284" max="1536" width="8.875" customWidth="1"/>
    <col min="1537" max="1537" width="13.625" customWidth="1"/>
    <col min="1538" max="1538" width="8.875" customWidth="1"/>
    <col min="1539" max="1539" width="12.625" customWidth="1"/>
    <col min="1540" max="1792" width="8.875" customWidth="1"/>
    <col min="1793" max="1793" width="13.625" customWidth="1"/>
    <col min="1794" max="1794" width="8.875" customWidth="1"/>
    <col min="1795" max="1795" width="12.625" customWidth="1"/>
    <col min="1796" max="2048" width="8.875" customWidth="1"/>
    <col min="2049" max="2049" width="13.625" customWidth="1"/>
    <col min="2050" max="2050" width="8.875" customWidth="1"/>
    <col min="2051" max="2051" width="12.625" customWidth="1"/>
    <col min="2052" max="2304" width="8.875" customWidth="1"/>
    <col min="2305" max="2305" width="13.625" customWidth="1"/>
    <col min="2306" max="2306" width="8.875" customWidth="1"/>
    <col min="2307" max="2307" width="12.625" customWidth="1"/>
    <col min="2308" max="2560" width="8.875" customWidth="1"/>
    <col min="2561" max="2561" width="13.625" customWidth="1"/>
    <col min="2562" max="2562" width="8.875" customWidth="1"/>
    <col min="2563" max="2563" width="12.625" customWidth="1"/>
    <col min="2564" max="2816" width="8.875" customWidth="1"/>
    <col min="2817" max="2817" width="13.625" customWidth="1"/>
    <col min="2818" max="2818" width="8.875" customWidth="1"/>
    <col min="2819" max="2819" width="12.625" customWidth="1"/>
    <col min="2820" max="3072" width="8.875" customWidth="1"/>
    <col min="3073" max="3073" width="13.625" customWidth="1"/>
    <col min="3074" max="3074" width="8.875" customWidth="1"/>
    <col min="3075" max="3075" width="12.625" customWidth="1"/>
    <col min="3076" max="3328" width="8.875" customWidth="1"/>
    <col min="3329" max="3329" width="13.625" customWidth="1"/>
    <col min="3330" max="3330" width="8.875" customWidth="1"/>
    <col min="3331" max="3331" width="12.625" customWidth="1"/>
    <col min="3332" max="3584" width="8.875" customWidth="1"/>
    <col min="3585" max="3585" width="13.625" customWidth="1"/>
    <col min="3586" max="3586" width="8.875" customWidth="1"/>
    <col min="3587" max="3587" width="12.625" customWidth="1"/>
    <col min="3588" max="3840" width="8.875" customWidth="1"/>
    <col min="3841" max="3841" width="13.625" customWidth="1"/>
    <col min="3842" max="3842" width="8.875" customWidth="1"/>
    <col min="3843" max="3843" width="12.625" customWidth="1"/>
    <col min="3844" max="4096" width="8.875" customWidth="1"/>
    <col min="4097" max="4097" width="13.625" customWidth="1"/>
    <col min="4098" max="4098" width="8.875" customWidth="1"/>
    <col min="4099" max="4099" width="12.625" customWidth="1"/>
    <col min="4100" max="4352" width="8.875" customWidth="1"/>
    <col min="4353" max="4353" width="13.625" customWidth="1"/>
    <col min="4354" max="4354" width="8.875" customWidth="1"/>
    <col min="4355" max="4355" width="12.625" customWidth="1"/>
    <col min="4356" max="4608" width="8.875" customWidth="1"/>
    <col min="4609" max="4609" width="13.625" customWidth="1"/>
    <col min="4610" max="4610" width="8.875" customWidth="1"/>
    <col min="4611" max="4611" width="12.625" customWidth="1"/>
    <col min="4612" max="4864" width="8.875" customWidth="1"/>
    <col min="4865" max="4865" width="13.625" customWidth="1"/>
    <col min="4866" max="4866" width="8.875" customWidth="1"/>
    <col min="4867" max="4867" width="12.625" customWidth="1"/>
    <col min="4868" max="5120" width="8.875" customWidth="1"/>
    <col min="5121" max="5121" width="13.625" customWidth="1"/>
    <col min="5122" max="5122" width="8.875" customWidth="1"/>
    <col min="5123" max="5123" width="12.625" customWidth="1"/>
    <col min="5124" max="5376" width="8.875" customWidth="1"/>
    <col min="5377" max="5377" width="13.625" customWidth="1"/>
    <col min="5378" max="5378" width="8.875" customWidth="1"/>
    <col min="5379" max="5379" width="12.625" customWidth="1"/>
    <col min="5380" max="5632" width="8.875" customWidth="1"/>
    <col min="5633" max="5633" width="13.625" customWidth="1"/>
    <col min="5634" max="5634" width="8.875" customWidth="1"/>
    <col min="5635" max="5635" width="12.625" customWidth="1"/>
    <col min="5636" max="5888" width="8.875" customWidth="1"/>
    <col min="5889" max="5889" width="13.625" customWidth="1"/>
    <col min="5890" max="5890" width="8.875" customWidth="1"/>
    <col min="5891" max="5891" width="12.625" customWidth="1"/>
    <col min="5892" max="6144" width="8.875" customWidth="1"/>
    <col min="6145" max="6145" width="13.625" customWidth="1"/>
    <col min="6146" max="6146" width="8.875" customWidth="1"/>
    <col min="6147" max="6147" width="12.625" customWidth="1"/>
    <col min="6148" max="6400" width="8.875" customWidth="1"/>
    <col min="6401" max="6401" width="13.625" customWidth="1"/>
    <col min="6402" max="6402" width="8.875" customWidth="1"/>
    <col min="6403" max="6403" width="12.625" customWidth="1"/>
    <col min="6404" max="6656" width="8.875" customWidth="1"/>
    <col min="6657" max="6657" width="13.625" customWidth="1"/>
    <col min="6658" max="6658" width="8.875" customWidth="1"/>
    <col min="6659" max="6659" width="12.625" customWidth="1"/>
    <col min="6660" max="6912" width="8.875" customWidth="1"/>
    <col min="6913" max="6913" width="13.625" customWidth="1"/>
    <col min="6914" max="6914" width="8.875" customWidth="1"/>
    <col min="6915" max="6915" width="12.625" customWidth="1"/>
    <col min="6916" max="7168" width="8.875" customWidth="1"/>
    <col min="7169" max="7169" width="13.625" customWidth="1"/>
    <col min="7170" max="7170" width="8.875" customWidth="1"/>
    <col min="7171" max="7171" width="12.625" customWidth="1"/>
    <col min="7172" max="7424" width="8.875" customWidth="1"/>
    <col min="7425" max="7425" width="13.625" customWidth="1"/>
    <col min="7426" max="7426" width="8.875" customWidth="1"/>
    <col min="7427" max="7427" width="12.625" customWidth="1"/>
    <col min="7428" max="7680" width="8.875" customWidth="1"/>
    <col min="7681" max="7681" width="13.625" customWidth="1"/>
    <col min="7682" max="7682" width="8.875" customWidth="1"/>
    <col min="7683" max="7683" width="12.625" customWidth="1"/>
    <col min="7684" max="7936" width="8.875" customWidth="1"/>
    <col min="7937" max="7937" width="13.625" customWidth="1"/>
    <col min="7938" max="7938" width="8.875" customWidth="1"/>
    <col min="7939" max="7939" width="12.625" customWidth="1"/>
    <col min="7940" max="8192" width="8.875" customWidth="1"/>
    <col min="8193" max="8193" width="13.625" customWidth="1"/>
    <col min="8194" max="8194" width="8.875" customWidth="1"/>
    <col min="8195" max="8195" width="12.625" customWidth="1"/>
    <col min="8196" max="8448" width="8.875" customWidth="1"/>
    <col min="8449" max="8449" width="13.625" customWidth="1"/>
    <col min="8450" max="8450" width="8.875" customWidth="1"/>
    <col min="8451" max="8451" width="12.625" customWidth="1"/>
    <col min="8452" max="8704" width="8.875" customWidth="1"/>
    <col min="8705" max="8705" width="13.625" customWidth="1"/>
    <col min="8706" max="8706" width="8.875" customWidth="1"/>
    <col min="8707" max="8707" width="12.625" customWidth="1"/>
    <col min="8708" max="8960" width="8.875" customWidth="1"/>
    <col min="8961" max="8961" width="13.625" customWidth="1"/>
    <col min="8962" max="8962" width="8.875" customWidth="1"/>
    <col min="8963" max="8963" width="12.625" customWidth="1"/>
    <col min="8964" max="9216" width="8.875" customWidth="1"/>
    <col min="9217" max="9217" width="13.625" customWidth="1"/>
    <col min="9218" max="9218" width="8.875" customWidth="1"/>
    <col min="9219" max="9219" width="12.625" customWidth="1"/>
    <col min="9220" max="9472" width="8.875" customWidth="1"/>
    <col min="9473" max="9473" width="13.625" customWidth="1"/>
    <col min="9474" max="9474" width="8.875" customWidth="1"/>
    <col min="9475" max="9475" width="12.625" customWidth="1"/>
    <col min="9476" max="9728" width="8.875" customWidth="1"/>
    <col min="9729" max="9729" width="13.625" customWidth="1"/>
    <col min="9730" max="9730" width="8.875" customWidth="1"/>
    <col min="9731" max="9731" width="12.625" customWidth="1"/>
    <col min="9732" max="9984" width="8.875" customWidth="1"/>
    <col min="9985" max="9985" width="13.625" customWidth="1"/>
    <col min="9986" max="9986" width="8.875" customWidth="1"/>
    <col min="9987" max="9987" width="12.625" customWidth="1"/>
    <col min="9988" max="10240" width="8.875" customWidth="1"/>
    <col min="10241" max="10241" width="13.625" customWidth="1"/>
    <col min="10242" max="10242" width="8.875" customWidth="1"/>
    <col min="10243" max="10243" width="12.625" customWidth="1"/>
    <col min="10244" max="10496" width="8.875" customWidth="1"/>
    <col min="10497" max="10497" width="13.625" customWidth="1"/>
    <col min="10498" max="10498" width="8.875" customWidth="1"/>
    <col min="10499" max="10499" width="12.625" customWidth="1"/>
    <col min="10500" max="10752" width="8.875" customWidth="1"/>
    <col min="10753" max="10753" width="13.625" customWidth="1"/>
    <col min="10754" max="10754" width="8.875" customWidth="1"/>
    <col min="10755" max="10755" width="12.625" customWidth="1"/>
    <col min="10756" max="11008" width="8.875" customWidth="1"/>
    <col min="11009" max="11009" width="13.625" customWidth="1"/>
    <col min="11010" max="11010" width="8.875" customWidth="1"/>
    <col min="11011" max="11011" width="12.625" customWidth="1"/>
    <col min="11012" max="11264" width="8.875" customWidth="1"/>
    <col min="11265" max="11265" width="13.625" customWidth="1"/>
    <col min="11266" max="11266" width="8.875" customWidth="1"/>
    <col min="11267" max="11267" width="12.625" customWidth="1"/>
    <col min="11268" max="11520" width="8.875" customWidth="1"/>
    <col min="11521" max="11521" width="13.625" customWidth="1"/>
    <col min="11522" max="11522" width="8.875" customWidth="1"/>
    <col min="11523" max="11523" width="12.625" customWidth="1"/>
    <col min="11524" max="11776" width="8.875" customWidth="1"/>
    <col min="11777" max="11777" width="13.625" customWidth="1"/>
    <col min="11778" max="11778" width="8.875" customWidth="1"/>
    <col min="11779" max="11779" width="12.625" customWidth="1"/>
    <col min="11780" max="12032" width="8.875" customWidth="1"/>
    <col min="12033" max="12033" width="13.625" customWidth="1"/>
    <col min="12034" max="12034" width="8.875" customWidth="1"/>
    <col min="12035" max="12035" width="12.625" customWidth="1"/>
    <col min="12036" max="12288" width="8.875" customWidth="1"/>
    <col min="12289" max="12289" width="13.625" customWidth="1"/>
    <col min="12290" max="12290" width="8.875" customWidth="1"/>
    <col min="12291" max="12291" width="12.625" customWidth="1"/>
    <col min="12292" max="12544" width="8.875" customWidth="1"/>
    <col min="12545" max="12545" width="13.625" customWidth="1"/>
    <col min="12546" max="12546" width="8.875" customWidth="1"/>
    <col min="12547" max="12547" width="12.625" customWidth="1"/>
    <col min="12548" max="12800" width="8.875" customWidth="1"/>
    <col min="12801" max="12801" width="13.625" customWidth="1"/>
    <col min="12802" max="12802" width="8.875" customWidth="1"/>
    <col min="12803" max="12803" width="12.625" customWidth="1"/>
    <col min="12804" max="13056" width="8.875" customWidth="1"/>
    <col min="13057" max="13057" width="13.625" customWidth="1"/>
    <col min="13058" max="13058" width="8.875" customWidth="1"/>
    <col min="13059" max="13059" width="12.625" customWidth="1"/>
    <col min="13060" max="13312" width="8.875" customWidth="1"/>
    <col min="13313" max="13313" width="13.625" customWidth="1"/>
    <col min="13314" max="13314" width="8.875" customWidth="1"/>
    <col min="13315" max="13315" width="12.625" customWidth="1"/>
    <col min="13316" max="13568" width="8.875" customWidth="1"/>
    <col min="13569" max="13569" width="13.625" customWidth="1"/>
    <col min="13570" max="13570" width="8.875" customWidth="1"/>
    <col min="13571" max="13571" width="12.625" customWidth="1"/>
    <col min="13572" max="13824" width="8.875" customWidth="1"/>
    <col min="13825" max="13825" width="13.625" customWidth="1"/>
    <col min="13826" max="13826" width="8.875" customWidth="1"/>
    <col min="13827" max="13827" width="12.625" customWidth="1"/>
    <col min="13828" max="14080" width="8.875" customWidth="1"/>
    <col min="14081" max="14081" width="13.625" customWidth="1"/>
    <col min="14082" max="14082" width="8.875" customWidth="1"/>
    <col min="14083" max="14083" width="12.625" customWidth="1"/>
    <col min="14084" max="14336" width="8.875" customWidth="1"/>
    <col min="14337" max="14337" width="13.625" customWidth="1"/>
    <col min="14338" max="14338" width="8.875" customWidth="1"/>
    <col min="14339" max="14339" width="12.625" customWidth="1"/>
    <col min="14340" max="14592" width="8.875" customWidth="1"/>
    <col min="14593" max="14593" width="13.625" customWidth="1"/>
    <col min="14594" max="14594" width="8.875" customWidth="1"/>
    <col min="14595" max="14595" width="12.625" customWidth="1"/>
    <col min="14596" max="14848" width="8.875" customWidth="1"/>
    <col min="14849" max="14849" width="13.625" customWidth="1"/>
    <col min="14850" max="14850" width="8.875" customWidth="1"/>
    <col min="14851" max="14851" width="12.625" customWidth="1"/>
    <col min="14852" max="15104" width="8.875" customWidth="1"/>
    <col min="15105" max="15105" width="13.625" customWidth="1"/>
    <col min="15106" max="15106" width="8.875" customWidth="1"/>
    <col min="15107" max="15107" width="12.625" customWidth="1"/>
    <col min="15108" max="15360" width="8.875" customWidth="1"/>
    <col min="15361" max="15361" width="13.625" customWidth="1"/>
    <col min="15362" max="15362" width="8.875" customWidth="1"/>
    <col min="15363" max="15363" width="12.625" customWidth="1"/>
    <col min="15364" max="15616" width="8.875" customWidth="1"/>
    <col min="15617" max="15617" width="13.625" customWidth="1"/>
    <col min="15618" max="15618" width="8.875" customWidth="1"/>
    <col min="15619" max="15619" width="12.625" customWidth="1"/>
    <col min="15620" max="15872" width="8.875" customWidth="1"/>
    <col min="15873" max="15873" width="13.625" customWidth="1"/>
    <col min="15874" max="15874" width="8.875" customWidth="1"/>
    <col min="15875" max="15875" width="12.625" customWidth="1"/>
    <col min="15876" max="16128" width="8.875" customWidth="1"/>
    <col min="16129" max="16129" width="13.625" customWidth="1"/>
    <col min="16130" max="16130" width="8.875" customWidth="1"/>
    <col min="16131" max="16131" width="12.625" customWidth="1"/>
    <col min="16132" max="16384" width="8.875" customWidth="1"/>
  </cols>
  <sheetData>
    <row r="1" spans="1:6" ht="24.75" thickBot="1" x14ac:dyDescent="0.3">
      <c r="A1" s="56" t="s">
        <v>0</v>
      </c>
      <c r="B1" s="58" t="s">
        <v>5</v>
      </c>
      <c r="C1" s="60" t="s">
        <v>6</v>
      </c>
      <c r="D1" s="61"/>
      <c r="E1" s="61"/>
      <c r="F1" s="62"/>
    </row>
    <row r="2" spans="1:6" ht="24.75" thickBot="1" x14ac:dyDescent="0.3">
      <c r="A2" s="57"/>
      <c r="B2" s="59"/>
      <c r="C2" s="1" t="s">
        <v>1</v>
      </c>
      <c r="D2" s="1" t="s">
        <v>2</v>
      </c>
      <c r="E2" s="1" t="s">
        <v>3</v>
      </c>
      <c r="F2" s="1" t="s">
        <v>4</v>
      </c>
    </row>
    <row r="3" spans="1:6" ht="24.75" thickBot="1" x14ac:dyDescent="0.6">
      <c r="A3" s="1" t="s">
        <v>1</v>
      </c>
      <c r="B3" s="2">
        <v>0.53190000000000004</v>
      </c>
      <c r="C3" s="3">
        <v>-0.53210000000000002</v>
      </c>
      <c r="D3" s="4">
        <v>-0.57869999999999999</v>
      </c>
      <c r="E3" s="5">
        <v>-2.5600000000000001E-2</v>
      </c>
      <c r="F3" s="6">
        <v>0.2034</v>
      </c>
    </row>
    <row r="4" spans="1:6" ht="24.75" thickBot="1" x14ac:dyDescent="0.6">
      <c r="A4" s="1" t="s">
        <v>2</v>
      </c>
      <c r="B4" s="2">
        <v>1.3409</v>
      </c>
      <c r="C4" s="7">
        <v>-0.30590000000000001</v>
      </c>
      <c r="D4" s="8">
        <v>-1.1507000000000001</v>
      </c>
      <c r="E4" s="9">
        <v>-4.3400000000000001E-2</v>
      </c>
      <c r="F4" s="10">
        <v>0.23449999999999999</v>
      </c>
    </row>
    <row r="5" spans="1:6" ht="24.75" thickBot="1" x14ac:dyDescent="0.6">
      <c r="A5" s="1" t="s">
        <v>3</v>
      </c>
      <c r="B5" s="2">
        <v>0.5302</v>
      </c>
      <c r="C5" s="7">
        <v>-9.6100000000000005E-2</v>
      </c>
      <c r="D5" s="11">
        <v>-0.308</v>
      </c>
      <c r="E5" s="12">
        <v>-0.68159999999999998</v>
      </c>
      <c r="F5" s="10">
        <v>0.61339999999999995</v>
      </c>
    </row>
    <row r="6" spans="1:6" ht="24.75" thickBot="1" x14ac:dyDescent="0.6">
      <c r="A6" s="1" t="s">
        <v>4</v>
      </c>
      <c r="B6" s="2">
        <v>1.8015000000000001</v>
      </c>
      <c r="C6" s="7">
        <v>0.93420000000000003</v>
      </c>
      <c r="D6" s="11">
        <v>2.0373999999999999</v>
      </c>
      <c r="E6" s="9">
        <v>-0.24940000000000001</v>
      </c>
      <c r="F6" s="13">
        <v>-1.0512999999999999</v>
      </c>
    </row>
  </sheetData>
  <mergeCells count="3">
    <mergeCell ref="A1:A2"/>
    <mergeCell ref="B1:B2"/>
    <mergeCell ref="C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8"/>
  <sheetViews>
    <sheetView tabSelected="1" topLeftCell="AM1" zoomScaleNormal="100" workbookViewId="0">
      <selection activeCell="BG44" sqref="BG44"/>
    </sheetView>
  </sheetViews>
  <sheetFormatPr defaultColWidth="10.875" defaultRowHeight="15.75" x14ac:dyDescent="0.25"/>
  <cols>
    <col min="1" max="1" width="5.875" style="17" customWidth="1"/>
    <col min="2" max="2" width="11.5" style="17" bestFit="1" customWidth="1"/>
    <col min="3" max="5" width="13" style="17" bestFit="1" customWidth="1"/>
    <col min="6" max="6" width="11.5" style="17" bestFit="1" customWidth="1"/>
    <col min="7" max="9" width="14" style="17" bestFit="1" customWidth="1"/>
    <col min="10" max="10" width="11" style="17" bestFit="1" customWidth="1"/>
    <col min="11" max="11" width="1.5" style="17" customWidth="1"/>
    <col min="12" max="12" width="11.375" style="17" bestFit="1" customWidth="1"/>
    <col min="13" max="20" width="10.875" style="17"/>
    <col min="21" max="21" width="1.5" style="17" customWidth="1"/>
    <col min="22" max="22" width="23.125" style="17" bestFit="1" customWidth="1"/>
    <col min="23" max="25" width="12.625" style="17" bestFit="1" customWidth="1"/>
    <col min="26" max="26" width="10.125" style="17" bestFit="1" customWidth="1"/>
    <col min="27" max="27" width="13.75" style="17" bestFit="1" customWidth="1"/>
    <col min="28" max="28" width="12.625" style="17" bestFit="1" customWidth="1"/>
    <col min="29" max="29" width="13.75" style="17" bestFit="1" customWidth="1"/>
    <col min="30" max="30" width="9.125" style="17" customWidth="1"/>
    <col min="31" max="31" width="14.75" style="17" bestFit="1" customWidth="1"/>
    <col min="32" max="32" width="1.5" style="17" customWidth="1"/>
    <col min="33" max="41" width="8.5" style="17" customWidth="1"/>
    <col min="42" max="42" width="3" style="17" customWidth="1"/>
    <col min="43" max="50" width="10.125" style="17" customWidth="1"/>
    <col min="51" max="51" width="12.125" style="17" customWidth="1"/>
    <col min="52" max="52" width="1.5" style="17" customWidth="1"/>
    <col min="53" max="53" width="8" style="17" customWidth="1"/>
    <col min="54" max="54" width="9" style="17" customWidth="1"/>
    <col min="55" max="57" width="8" style="17" customWidth="1"/>
    <col min="58" max="58" width="10.875" style="17" bestFit="1" customWidth="1"/>
    <col min="59" max="59" width="13.875" style="17" bestFit="1" customWidth="1"/>
    <col min="60" max="61" width="8" style="17" customWidth="1"/>
    <col min="62" max="62" width="10.875" style="17"/>
    <col min="63" max="63" width="14.75" style="17" bestFit="1" customWidth="1"/>
    <col min="64" max="16384" width="10.875" style="17"/>
  </cols>
  <sheetData>
    <row r="1" spans="1:63" x14ac:dyDescent="0.25">
      <c r="B1" s="65" t="s">
        <v>43</v>
      </c>
      <c r="C1" s="65"/>
      <c r="D1" s="65"/>
      <c r="E1" s="65"/>
      <c r="F1" s="65"/>
      <c r="G1" s="65"/>
      <c r="H1" s="65"/>
      <c r="I1" s="65"/>
      <c r="J1" s="65"/>
      <c r="L1" s="18"/>
      <c r="M1" s="18" t="s">
        <v>16</v>
      </c>
      <c r="N1" s="18"/>
      <c r="O1" s="18"/>
      <c r="P1" s="18"/>
      <c r="Q1" s="18"/>
      <c r="R1" s="18"/>
      <c r="S1" s="18"/>
      <c r="T1" s="18"/>
      <c r="V1" s="64" t="s">
        <v>41</v>
      </c>
      <c r="W1" s="64"/>
      <c r="X1" s="64"/>
      <c r="Y1" s="64"/>
      <c r="Z1" s="64"/>
      <c r="AA1" s="64"/>
      <c r="AB1" s="64"/>
      <c r="AC1" s="64"/>
      <c r="AD1" s="64"/>
      <c r="AE1" s="64"/>
      <c r="AG1" s="50" t="s">
        <v>46</v>
      </c>
      <c r="AH1" s="50"/>
      <c r="AI1" s="50"/>
      <c r="AJ1" s="50"/>
      <c r="AK1" s="50"/>
      <c r="AL1" s="50"/>
      <c r="AM1" s="50"/>
      <c r="AN1" s="50"/>
      <c r="AO1" s="50"/>
      <c r="AQ1" s="68" t="s">
        <v>44</v>
      </c>
      <c r="AR1" s="68"/>
      <c r="AS1" s="68"/>
      <c r="AT1" s="68"/>
      <c r="AU1" s="68"/>
      <c r="AV1" s="68"/>
      <c r="AW1" s="68"/>
      <c r="AX1" s="68"/>
      <c r="AY1" s="68"/>
      <c r="BA1" s="63" t="s">
        <v>51</v>
      </c>
      <c r="BB1" s="63"/>
      <c r="BC1" s="63"/>
      <c r="BD1" s="63"/>
      <c r="BE1" s="63"/>
      <c r="BF1" s="63"/>
      <c r="BG1" s="63"/>
      <c r="BH1" s="63"/>
      <c r="BI1" s="63"/>
      <c r="BJ1" s="63"/>
      <c r="BK1" s="63"/>
    </row>
    <row r="2" spans="1:63" x14ac:dyDescent="0.25">
      <c r="L2" s="20">
        <v>1.418647612033864E-2</v>
      </c>
      <c r="M2" s="20">
        <f>2*0.525261465713709%</f>
        <v>1.0505229314274181E-2</v>
      </c>
      <c r="N2" s="20">
        <v>1.418647612033864E-2</v>
      </c>
      <c r="O2" s="20">
        <v>1.418647612033864E-2</v>
      </c>
      <c r="P2" s="20">
        <v>1.418647612033864E-2</v>
      </c>
      <c r="Q2" s="20">
        <f>2*0.870422678315793%</f>
        <v>1.740845356631586E-2</v>
      </c>
      <c r="R2" s="20">
        <v>4.3429051982819423E-3</v>
      </c>
      <c r="S2" s="20">
        <v>4.3429051982819397E-3</v>
      </c>
      <c r="T2" s="19">
        <v>3.0000000000000027E-2</v>
      </c>
      <c r="V2" s="46">
        <v>0.58902228000000001</v>
      </c>
      <c r="W2" s="46">
        <v>0.53012005200000001</v>
      </c>
      <c r="X2" s="47">
        <v>0.53012005200000001</v>
      </c>
      <c r="Y2" s="47">
        <v>0.47121782400000001</v>
      </c>
      <c r="Z2" s="47">
        <v>8.8353342000000001E-2</v>
      </c>
      <c r="AA2" s="47">
        <v>0.72832715999999997</v>
      </c>
      <c r="AB2" s="47">
        <v>0.45557468000000001</v>
      </c>
      <c r="AC2" s="47">
        <v>0.57736787999999994</v>
      </c>
      <c r="AD2" s="47">
        <v>0.83075553000000013</v>
      </c>
      <c r="AE2" s="48" t="s">
        <v>39</v>
      </c>
      <c r="AG2" s="49" t="s">
        <v>45</v>
      </c>
      <c r="AH2" s="17">
        <v>8.8737145324225661</v>
      </c>
      <c r="AQ2" s="66" t="s">
        <v>17</v>
      </c>
      <c r="AR2" s="67"/>
      <c r="AS2" s="67"/>
      <c r="AT2" s="67"/>
      <c r="AU2" s="67"/>
      <c r="AV2" s="67"/>
      <c r="AW2" s="67"/>
      <c r="AX2" s="67"/>
      <c r="AY2" s="67"/>
    </row>
    <row r="3" spans="1:63" x14ac:dyDescent="0.25">
      <c r="L3" s="51"/>
      <c r="M3" s="51"/>
      <c r="N3" s="51"/>
      <c r="O3" s="51"/>
      <c r="P3" s="51"/>
      <c r="Q3" s="51"/>
      <c r="R3" s="51"/>
      <c r="S3" s="51"/>
      <c r="T3" s="52"/>
      <c r="V3" s="53"/>
      <c r="W3" s="53"/>
      <c r="X3" s="54"/>
      <c r="Y3" s="54"/>
      <c r="Z3" s="54"/>
      <c r="AA3" s="54"/>
      <c r="AB3" s="54"/>
      <c r="AC3" s="54"/>
      <c r="AD3" s="54"/>
      <c r="AE3" s="55"/>
      <c r="AG3" s="49"/>
      <c r="AQ3" s="21">
        <v>7</v>
      </c>
      <c r="AR3" s="22">
        <v>6.3</v>
      </c>
      <c r="AS3" s="22">
        <v>6.3</v>
      </c>
      <c r="AT3" s="22">
        <v>5.6</v>
      </c>
      <c r="AU3" s="22">
        <v>1.05</v>
      </c>
      <c r="AV3" s="22">
        <v>5.31</v>
      </c>
      <c r="AW3" s="22">
        <v>2.17</v>
      </c>
      <c r="AX3" s="23">
        <v>0</v>
      </c>
      <c r="AY3" s="22">
        <v>0.98139500000000002</v>
      </c>
    </row>
    <row r="4" spans="1:63" x14ac:dyDescent="0.25">
      <c r="L4" s="51"/>
      <c r="M4" s="51"/>
      <c r="N4" s="51"/>
      <c r="O4" s="51"/>
      <c r="P4" s="51"/>
      <c r="Q4" s="51"/>
      <c r="R4" s="51"/>
      <c r="S4" s="51"/>
      <c r="T4" s="52"/>
      <c r="V4" s="53"/>
      <c r="W4" s="53"/>
      <c r="X4" s="54"/>
      <c r="Y4" s="54"/>
      <c r="Z4" s="54"/>
      <c r="AA4" s="54"/>
      <c r="AB4" s="54"/>
      <c r="AC4" s="54"/>
      <c r="AD4" s="54"/>
      <c r="AE4" s="55"/>
      <c r="AG4" s="49"/>
      <c r="AQ4" s="69" t="s">
        <v>50</v>
      </c>
      <c r="AR4" s="70"/>
      <c r="AS4" s="70"/>
      <c r="AT4" s="70"/>
      <c r="AU4" s="70"/>
      <c r="AV4" s="70"/>
      <c r="AW4" s="70"/>
      <c r="AX4" s="70"/>
      <c r="AY4" s="70"/>
    </row>
    <row r="5" spans="1:63" x14ac:dyDescent="0.25">
      <c r="L5" s="24" t="s">
        <v>52</v>
      </c>
      <c r="M5" s="24"/>
      <c r="N5" s="24"/>
      <c r="O5" s="24"/>
      <c r="P5" s="24"/>
      <c r="Q5" s="24"/>
      <c r="R5" s="24"/>
      <c r="S5" s="24"/>
      <c r="T5" s="15"/>
      <c r="AN5"/>
      <c r="AQ5" s="21">
        <v>-1.1507000000000001</v>
      </c>
      <c r="AR5" s="21">
        <v>0.53210000000000002</v>
      </c>
      <c r="AS5" s="21">
        <v>-1.1507000000000001</v>
      </c>
      <c r="AT5" s="21">
        <v>-1.1507000000000001</v>
      </c>
      <c r="AU5" s="21">
        <v>-1.1507000000000001</v>
      </c>
      <c r="AV5" s="21">
        <v>-0.68159999999999998</v>
      </c>
      <c r="AW5" s="21">
        <v>-1.0512999999999999</v>
      </c>
      <c r="AX5" s="21">
        <v>-1.0512999999999999</v>
      </c>
      <c r="AY5" s="21">
        <v>-0.27279999999999999</v>
      </c>
      <c r="BA5" s="25"/>
      <c r="BB5" s="26"/>
      <c r="BC5" s="26"/>
      <c r="BD5" s="26"/>
      <c r="BE5" s="26"/>
      <c r="BF5" s="26"/>
      <c r="BG5" s="26"/>
      <c r="BH5" s="27"/>
      <c r="BI5" s="26"/>
      <c r="BJ5" s="28"/>
    </row>
    <row r="6" spans="1:63" x14ac:dyDescent="0.25">
      <c r="B6" s="17" t="s">
        <v>18</v>
      </c>
      <c r="L6" s="14" t="s">
        <v>19</v>
      </c>
      <c r="V6" s="17" t="s">
        <v>42</v>
      </c>
      <c r="AG6" s="14" t="s">
        <v>19</v>
      </c>
      <c r="AQ6" s="17" t="s">
        <v>18</v>
      </c>
      <c r="BA6" s="17" t="s">
        <v>47</v>
      </c>
    </row>
    <row r="7" spans="1:63" s="42" customFormat="1" ht="63" x14ac:dyDescent="0.25">
      <c r="A7" s="38" t="s">
        <v>7</v>
      </c>
      <c r="B7" s="40" t="s">
        <v>8</v>
      </c>
      <c r="C7" s="40" t="s">
        <v>9</v>
      </c>
      <c r="D7" s="40" t="s">
        <v>10</v>
      </c>
      <c r="E7" s="40" t="s">
        <v>11</v>
      </c>
      <c r="F7" s="40" t="s">
        <v>12</v>
      </c>
      <c r="G7" s="40" t="s">
        <v>13</v>
      </c>
      <c r="H7" s="40" t="s">
        <v>14</v>
      </c>
      <c r="I7" s="40" t="s">
        <v>15</v>
      </c>
      <c r="J7" s="38" t="s">
        <v>20</v>
      </c>
      <c r="K7" s="41"/>
      <c r="L7" s="39" t="s">
        <v>22</v>
      </c>
      <c r="M7" s="43" t="s">
        <v>23</v>
      </c>
      <c r="N7" s="39" t="s">
        <v>24</v>
      </c>
      <c r="O7" s="39" t="s">
        <v>25</v>
      </c>
      <c r="P7" s="39" t="s">
        <v>26</v>
      </c>
      <c r="Q7" s="43" t="s">
        <v>27</v>
      </c>
      <c r="R7" s="39" t="s">
        <v>28</v>
      </c>
      <c r="S7" s="39" t="s">
        <v>21</v>
      </c>
      <c r="T7" s="38" t="s">
        <v>29</v>
      </c>
      <c r="V7" s="38" t="s">
        <v>30</v>
      </c>
      <c r="W7" s="38" t="s">
        <v>31</v>
      </c>
      <c r="X7" s="38" t="s">
        <v>32</v>
      </c>
      <c r="Y7" s="38" t="s">
        <v>33</v>
      </c>
      <c r="Z7" s="38" t="s">
        <v>34</v>
      </c>
      <c r="AA7" s="38" t="s">
        <v>35</v>
      </c>
      <c r="AB7" s="38" t="s">
        <v>38</v>
      </c>
      <c r="AC7" s="38" t="s">
        <v>36</v>
      </c>
      <c r="AD7" s="38" t="s">
        <v>37</v>
      </c>
      <c r="AE7" s="38" t="s">
        <v>40</v>
      </c>
      <c r="AG7" s="39" t="s">
        <v>22</v>
      </c>
      <c r="AH7" s="43" t="s">
        <v>23</v>
      </c>
      <c r="AI7" s="39" t="s">
        <v>24</v>
      </c>
      <c r="AJ7" s="39" t="s">
        <v>25</v>
      </c>
      <c r="AK7" s="39" t="s">
        <v>26</v>
      </c>
      <c r="AL7" s="43" t="s">
        <v>27</v>
      </c>
      <c r="AM7" s="39" t="s">
        <v>28</v>
      </c>
      <c r="AN7" s="39" t="s">
        <v>21</v>
      </c>
      <c r="AO7" s="38" t="s">
        <v>29</v>
      </c>
      <c r="AQ7" s="40" t="s">
        <v>8</v>
      </c>
      <c r="AR7" s="40" t="s">
        <v>9</v>
      </c>
      <c r="AS7" s="40" t="s">
        <v>10</v>
      </c>
      <c r="AT7" s="40" t="s">
        <v>11</v>
      </c>
      <c r="AU7" s="40" t="s">
        <v>12</v>
      </c>
      <c r="AV7" s="40" t="s">
        <v>13</v>
      </c>
      <c r="AW7" s="40" t="s">
        <v>14</v>
      </c>
      <c r="AX7" s="40" t="s">
        <v>15</v>
      </c>
      <c r="AY7" s="38" t="s">
        <v>20</v>
      </c>
      <c r="BA7" s="38" t="s">
        <v>30</v>
      </c>
      <c r="BB7" s="38" t="s">
        <v>31</v>
      </c>
      <c r="BC7" s="38" t="s">
        <v>32</v>
      </c>
      <c r="BD7" s="38" t="s">
        <v>33</v>
      </c>
      <c r="BE7" s="38" t="s">
        <v>34</v>
      </c>
      <c r="BF7" s="38" t="s">
        <v>35</v>
      </c>
      <c r="BG7" s="38" t="s">
        <v>38</v>
      </c>
      <c r="BH7" s="38" t="s">
        <v>36</v>
      </c>
      <c r="BI7" s="38" t="s">
        <v>37</v>
      </c>
      <c r="BJ7" s="38" t="s">
        <v>48</v>
      </c>
      <c r="BK7" s="38" t="s">
        <v>49</v>
      </c>
    </row>
    <row r="8" spans="1:63" x14ac:dyDescent="0.25">
      <c r="A8" s="30">
        <v>2013</v>
      </c>
      <c r="B8" s="16">
        <v>310968.73224866169</v>
      </c>
      <c r="C8" s="16">
        <v>5430996.9810631918</v>
      </c>
      <c r="D8" s="16">
        <v>1666974.050894174</v>
      </c>
      <c r="E8" s="16">
        <v>431332.46098705992</v>
      </c>
      <c r="F8" s="16">
        <v>44849.272589848704</v>
      </c>
      <c r="G8" s="16">
        <v>20646482.074014872</v>
      </c>
      <c r="H8" s="16">
        <v>1365143.2195833663</v>
      </c>
      <c r="I8" s="16">
        <v>1813281.0511915365</v>
      </c>
      <c r="J8" s="31">
        <v>370.30376716186498</v>
      </c>
      <c r="L8" s="32">
        <v>46.6768965186535</v>
      </c>
      <c r="M8" s="32">
        <v>33.6626066941594</v>
      </c>
      <c r="N8" s="32">
        <v>36.01227582238419</v>
      </c>
      <c r="O8" s="32">
        <v>30.77587033662607</v>
      </c>
      <c r="P8" s="32">
        <v>20.62913589718999</v>
      </c>
      <c r="Q8" s="32">
        <v>34.799999999999997</v>
      </c>
      <c r="R8" s="33">
        <v>11.08349166275703</v>
      </c>
      <c r="S8" s="32">
        <v>10.070010549534862</v>
      </c>
      <c r="T8" s="34">
        <v>24.615409328706008</v>
      </c>
      <c r="V8" s="45">
        <f>B8*$V$2</f>
        <v>183167.51167781625</v>
      </c>
      <c r="W8" s="45">
        <f>C8*$W$2</f>
        <v>2879080.4020130625</v>
      </c>
      <c r="X8" s="45">
        <f>D8*$X$2</f>
        <v>883696.37054267025</v>
      </c>
      <c r="Y8" s="45">
        <f>E8*$Y$2</f>
        <v>203251.54368688728</v>
      </c>
      <c r="Z8" s="45">
        <f>F8*$Z$2</f>
        <v>3962.5831195821283</v>
      </c>
      <c r="AA8" s="45">
        <f>G8*$AA$2</f>
        <v>15037393.652958162</v>
      </c>
      <c r="AB8" s="45">
        <f>H8*$AB$2</f>
        <v>621924.6854158619</v>
      </c>
      <c r="AC8" s="45">
        <f>I8*$AC$2</f>
        <v>1046930.2363706288</v>
      </c>
      <c r="AD8" s="45">
        <f>J8*$AD$2</f>
        <v>307.63190234955181</v>
      </c>
      <c r="AE8" s="44">
        <f>SUM(V8:AD8)</f>
        <v>20859714.61768702</v>
      </c>
      <c r="AG8" s="17">
        <f>L8+(1.07)*(1.1)*($V$2*tc-$AQ$3)</f>
        <v>44.589858439784507</v>
      </c>
      <c r="AH8" s="17">
        <f>M8+(1.07)*(1.1)*($W$2*tc-$AR$3)</f>
        <v>31.784272423177306</v>
      </c>
      <c r="AI8" s="17">
        <f>N8+(1.07)*(1.1)*($X$2*tc-$AS$3)</f>
        <v>34.133941551402096</v>
      </c>
      <c r="AJ8" s="17">
        <f>O8+(1.07)*(1.1)*($Y$2*tc-$AT$3)</f>
        <v>29.106239873530875</v>
      </c>
      <c r="AK8" s="17">
        <f>P8+(1.07)*(1.1)*($Z$2*tc-$AU$3)</f>
        <v>20.316080185359642</v>
      </c>
      <c r="AL8" s="17">
        <f>Q8+(1.07)*(1.1)*($AA$2*tc-$AV$3)</f>
        <v>36.157042516866916</v>
      </c>
      <c r="AM8" s="17">
        <f>R8+(1.07)*(1.1)*($AB$2*tc-$AW$3)</f>
        <v>13.287588540834788</v>
      </c>
      <c r="AN8" s="17">
        <f>S8+(1.07)*(1.1)*($AC$2*tc-$AX$3)</f>
        <v>16.100249698118741</v>
      </c>
      <c r="AO8" s="17">
        <f>T8+(1.07)*(1.1)*($AD$2*tc-$AY$3)</f>
        <v>32.137018906400321</v>
      </c>
      <c r="AQ8" s="17">
        <f>B8*(L8/AG8)^(-$AQ$5)</f>
        <v>327775.42579017207</v>
      </c>
      <c r="AR8" s="17">
        <f>C8*(M8/AH8)^($AR$5)</f>
        <v>5599480.3402779186</v>
      </c>
      <c r="AS8" s="17">
        <f>D8*(N8/AI8)^(-$AS$5)</f>
        <v>1772959.7270939301</v>
      </c>
      <c r="AT8" s="17">
        <f>E8*(O8/AJ8)^(-$AT$5)</f>
        <v>459924.95605107967</v>
      </c>
      <c r="AU8" s="17">
        <f>F8*(P8/AK8)^(-$AU$5)</f>
        <v>45645.433792267228</v>
      </c>
      <c r="AV8" s="17">
        <f>G8*(Q8/AL8)^(-$AV$5)</f>
        <v>20115099.980353046</v>
      </c>
      <c r="AW8" s="17">
        <f>H8*(R8/AM8)^(-$AW$5)</f>
        <v>1128152.3822241845</v>
      </c>
      <c r="AX8" s="17">
        <f>I8*(S8/AN8)^(-$AX$5)</f>
        <v>1107152.2816478754</v>
      </c>
      <c r="AY8" s="17">
        <f>J8*(T8/AO8)^(-$AY$5)</f>
        <v>344.32479077428059</v>
      </c>
      <c r="BA8">
        <f>AQ8*$V$2</f>
        <v>193067.02862689795</v>
      </c>
      <c r="BB8">
        <f>AR8*$W$2</f>
        <v>2968396.809161108</v>
      </c>
      <c r="BC8">
        <f>AS8*$X$2</f>
        <v>939881.50272094004</v>
      </c>
      <c r="BD8">
        <f>AT8*$Y$2</f>
        <v>216724.8369936854</v>
      </c>
      <c r="BE8">
        <f>AU8*$Z$2</f>
        <v>4032.9266225865435</v>
      </c>
      <c r="BF8">
        <f>AV8*$AA$2</f>
        <v>14650373.641806589</v>
      </c>
      <c r="BG8">
        <f>AW8*$AB$2</f>
        <v>513957.66052302055</v>
      </c>
      <c r="BH8">
        <f>AX8*$AC$2</f>
        <v>639234.16569219669</v>
      </c>
      <c r="BI8">
        <f>AY8*$AD$2</f>
        <v>286.04972405182662</v>
      </c>
      <c r="BJ8">
        <f>SUM(BA8:BI8)</f>
        <v>20125954.621871077</v>
      </c>
      <c r="BK8" s="44">
        <f>BJ8/AE8</f>
        <v>0.96482406354716921</v>
      </c>
    </row>
    <row r="9" spans="1:63" x14ac:dyDescent="0.25">
      <c r="A9" s="30">
        <v>2014</v>
      </c>
      <c r="B9" s="16">
        <v>309473.49542891316</v>
      </c>
      <c r="C9" s="16">
        <v>5453204.6393442731</v>
      </c>
      <c r="D9" s="16">
        <v>1730104.7891664291</v>
      </c>
      <c r="E9" s="16">
        <v>457697.51131650253</v>
      </c>
      <c r="F9" s="16">
        <v>48126.10101977364</v>
      </c>
      <c r="G9" s="16">
        <v>20634460.385670584</v>
      </c>
      <c r="H9" s="16">
        <v>1404724.8033376478</v>
      </c>
      <c r="I9" s="16">
        <v>1871577.8847050909</v>
      </c>
      <c r="J9" s="31">
        <v>371.87781441005495</v>
      </c>
      <c r="L9" s="35">
        <v>47.339077196486897</v>
      </c>
      <c r="M9" s="35">
        <v>34.016240096797766</v>
      </c>
      <c r="N9" s="35">
        <v>36.523163113377493</v>
      </c>
      <c r="O9" s="35">
        <v>31.212471486239259</v>
      </c>
      <c r="P9" s="35">
        <v>20.921790640978699</v>
      </c>
      <c r="Q9" s="35">
        <v>35.40581418410779</v>
      </c>
      <c r="R9" s="35">
        <v>11.064772789085751</v>
      </c>
      <c r="S9" s="35">
        <v>10.11374365069719</v>
      </c>
      <c r="T9" s="35">
        <v>25.353871608567189</v>
      </c>
      <c r="V9" s="45">
        <f t="shared" ref="V9:V15" si="0">B9*$V$2</f>
        <v>182286.78387710801</v>
      </c>
      <c r="W9" s="45">
        <f t="shared" ref="W9:W15" si="1">C9*$W$2</f>
        <v>2890853.1269758274</v>
      </c>
      <c r="X9" s="45">
        <f t="shared" ref="X9:X15" si="2">D9*$X$2</f>
        <v>917163.24079835648</v>
      </c>
      <c r="Y9" s="45">
        <f t="shared" ref="Y9:Y15" si="3">E9*$Y$2</f>
        <v>215675.22533277769</v>
      </c>
      <c r="Z9" s="45">
        <f t="shared" ref="Z9:Z15" si="4">F9*$Z$2</f>
        <v>4252.1018625266088</v>
      </c>
      <c r="AA9" s="45">
        <f t="shared" ref="AA9:AA15" si="5">G9*$AA$2</f>
        <v>15028637.93082796</v>
      </c>
      <c r="AB9" s="45">
        <f t="shared" ref="AB9:AB15" si="6">H9*$AB$2</f>
        <v>639957.05276861181</v>
      </c>
      <c r="AC9" s="45">
        <f t="shared" ref="AC9:AC15" si="7">I9*$AC$2</f>
        <v>1080588.9555470627</v>
      </c>
      <c r="AD9" s="45">
        <f t="shared" ref="AD9:AD15" si="8">J9*$AD$2</f>
        <v>308.93955080546687</v>
      </c>
      <c r="AE9" s="44">
        <f t="shared" ref="AE9:AE37" si="9">SUM(V9:AD9)</f>
        <v>20959723.357541036</v>
      </c>
      <c r="AG9" s="17">
        <f>L9+(1.07)*(1.1)*($V$2*tc-$AQ$3)</f>
        <v>45.252039117617905</v>
      </c>
      <c r="AH9" s="17">
        <f>M9+(1.07)*(1.1)*($W$2*tc-$AR$3)</f>
        <v>32.137905825815672</v>
      </c>
      <c r="AI9" s="17">
        <f>N9+(1.07)*(1.1)*($X$2*tc-$AS$3)</f>
        <v>34.644828842395398</v>
      </c>
      <c r="AJ9" s="17">
        <f>O9+(1.07)*(1.1)*($Y$2*tc-$AT$3)</f>
        <v>29.542841023144064</v>
      </c>
      <c r="AK9" s="17">
        <f>P9+(1.07)*(1.1)*($Z$2*tc-$AU$3)</f>
        <v>20.608734929148351</v>
      </c>
      <c r="AL9" s="17">
        <f>Q9+(1.07)*(1.1)*($AA$2*tc-$AV$3)</f>
        <v>36.762856700974709</v>
      </c>
      <c r="AM9" s="17">
        <f>R9+(1.07)*(1.1)*($AB$2*tc-$AW$3)</f>
        <v>13.268869667163509</v>
      </c>
      <c r="AN9" s="17">
        <f>S9+(1.07)*(1.1)*($AC$2*tc-$AX$3)</f>
        <v>16.143982799281069</v>
      </c>
      <c r="AO9" s="17">
        <f>T9+(1.07)*(1.1)*($AD$2*tc-$AY$3)</f>
        <v>32.875481186261503</v>
      </c>
      <c r="AQ9" s="17">
        <f t="shared" ref="AQ9:AQ37" si="10">B9*(L9/AG9)^(-$AQ$5)</f>
        <v>325953.79839706316</v>
      </c>
      <c r="AR9" s="17">
        <f t="shared" ref="AR9:AR37" si="11">C9*(M9/AH9)^($AR$5)</f>
        <v>5620539.8211867334</v>
      </c>
      <c r="AS9" s="17">
        <f t="shared" ref="AS9:AS37" si="12">D9*(N9/AI9)^(-$AS$5)</f>
        <v>1838475.7952051715</v>
      </c>
      <c r="AT9" s="17">
        <f t="shared" ref="AT9:AT37" si="13">E9*(O9/AJ9)^(-$AT$5)</f>
        <v>487587.48557639873</v>
      </c>
      <c r="AU9" s="17">
        <f t="shared" ref="AU9:AU37" si="14">F9*(P9/AK9)^(-$AU$5)</f>
        <v>48968.286556386214</v>
      </c>
      <c r="AV9" s="17">
        <f t="shared" ref="AV9:AV37" si="15">G9*(Q9/AL9)^(-$AV$5)</f>
        <v>20112192.076870013</v>
      </c>
      <c r="AW9" s="17">
        <f t="shared" ref="AW9:AW37" si="16">H9*(R9/AM9)^(-$AW$5)</f>
        <v>1160520.1690892079</v>
      </c>
      <c r="AX9" s="17">
        <f t="shared" ref="AX9:AX37" si="17">I9*(S9/AN9)^(-$AX$5)</f>
        <v>1144696.0771978733</v>
      </c>
      <c r="AY9" s="17">
        <f t="shared" ref="AY9:AY37" si="18">J9*(T9/AO9)^(-$AY$5)</f>
        <v>346.43426256248108</v>
      </c>
      <c r="BA9">
        <f t="shared" ref="BA9:BA37" si="19">AQ9*$V$2</f>
        <v>191994.0495064985</v>
      </c>
      <c r="BB9">
        <f t="shared" ref="BB9:BB37" si="20">AR9*$W$2</f>
        <v>2979560.8622755818</v>
      </c>
      <c r="BC9">
        <f t="shared" ref="BC9:BC37" si="21">AS9*$X$2</f>
        <v>974612.88415490685</v>
      </c>
      <c r="BD9">
        <f t="shared" ref="BD9:BD37" si="22">AT9*$Y$2</f>
        <v>229759.913962942</v>
      </c>
      <c r="BE9">
        <f t="shared" ref="BE9:BE37" si="23">AU9*$Z$2</f>
        <v>4326.5117692703934</v>
      </c>
      <c r="BF9">
        <f t="shared" ref="BF9:BF37" si="24">AV9*$AA$2</f>
        <v>14648255.736721238</v>
      </c>
      <c r="BG9">
        <f t="shared" ref="BG9:BG37" si="25">AW9*$AB$2</f>
        <v>528703.60466636182</v>
      </c>
      <c r="BH9">
        <f t="shared" ref="BH9:BH37" si="26">AX9*$AC$2</f>
        <v>660910.74733605236</v>
      </c>
      <c r="BI9">
        <f t="shared" ref="BI9:BI37" si="27">AY9*$AD$2</f>
        <v>287.80217940525318</v>
      </c>
      <c r="BJ9">
        <f t="shared" ref="BJ9:BJ37" si="28">SUM(BA9:BI9)</f>
        <v>20218412.112572256</v>
      </c>
      <c r="BK9" s="44">
        <f t="shared" ref="BK9:BK37" si="29">BJ9/AE9</f>
        <v>0.96463163027855203</v>
      </c>
    </row>
    <row r="10" spans="1:63" x14ac:dyDescent="0.25">
      <c r="A10" s="30">
        <v>2015</v>
      </c>
      <c r="B10" s="16">
        <v>311079.4353293514</v>
      </c>
      <c r="C10" s="16">
        <v>5509436.3712989893</v>
      </c>
      <c r="D10" s="16">
        <v>1815277.9177561665</v>
      </c>
      <c r="E10" s="16">
        <v>490988.95456712658</v>
      </c>
      <c r="F10" s="16">
        <v>52212.84857929546</v>
      </c>
      <c r="G10" s="16">
        <v>20629339.127669733</v>
      </c>
      <c r="H10" s="16">
        <v>1528918.690516311</v>
      </c>
      <c r="I10" s="16">
        <v>2043270.2793096686</v>
      </c>
      <c r="J10" s="31">
        <v>377.12771699680434</v>
      </c>
      <c r="K10" s="36"/>
      <c r="L10" s="71">
        <f>L9*(1+$L$2)</f>
        <v>48.010651884693729</v>
      </c>
      <c r="M10" s="71">
        <f>M9*(1+$M$2)</f>
        <v>34.373588499424038</v>
      </c>
      <c r="N10" s="71">
        <f>N9*(1+$N$2)</f>
        <v>37.04129809472466</v>
      </c>
      <c r="O10" s="71">
        <f>O9*(1+$O$2)</f>
        <v>31.655266467635546</v>
      </c>
      <c r="P10" s="71">
        <f>P9*(1+$P$2)</f>
        <v>21.21859712430167</v>
      </c>
      <c r="Q10" s="71">
        <f>Q9*(1+$Q$2)</f>
        <v>36.022174656309438</v>
      </c>
      <c r="R10" s="71">
        <f>R9*(1+$R$2)</f>
        <v>11.11282604834928</v>
      </c>
      <c r="S10" s="71">
        <f>S9*(1+$S$2)</f>
        <v>10.157666680571893</v>
      </c>
      <c r="T10" s="71">
        <f>T9*(1+$T$2)</f>
        <v>26.114487756824207</v>
      </c>
      <c r="V10" s="45">
        <f t="shared" si="0"/>
        <v>183232.71825880712</v>
      </c>
      <c r="W10" s="45">
        <f t="shared" si="1"/>
        <v>2920662.6956437114</v>
      </c>
      <c r="X10" s="45">
        <f t="shared" si="2"/>
        <v>962315.2241553507</v>
      </c>
      <c r="Y10" s="45">
        <f t="shared" si="3"/>
        <v>231362.74677915627</v>
      </c>
      <c r="Z10" s="45">
        <f t="shared" si="4"/>
        <v>4613.1796673207064</v>
      </c>
      <c r="AA10" s="45">
        <f t="shared" si="5"/>
        <v>15024907.979532573</v>
      </c>
      <c r="AB10" s="45">
        <f t="shared" si="6"/>
        <v>696536.64317798743</v>
      </c>
      <c r="AC10" s="45">
        <f t="shared" si="7"/>
        <v>1179718.6294320312</v>
      </c>
      <c r="AD10" s="45">
        <f t="shared" si="8"/>
        <v>313.30093641137023</v>
      </c>
      <c r="AE10" s="44">
        <f t="shared" si="9"/>
        <v>21203663.117583346</v>
      </c>
      <c r="AG10" s="17">
        <f>L10+(1.07)*(1.1)*($V$2*tc-$AQ$3)</f>
        <v>45.923613805824736</v>
      </c>
      <c r="AH10" s="17">
        <f>M10+(1.07)*(1.1)*($W$2*tc-$AR$3)</f>
        <v>32.495254228441944</v>
      </c>
      <c r="AI10" s="17">
        <f>N10+(1.07)*(1.1)*($X$2*tc-$AS$3)</f>
        <v>35.162963823742565</v>
      </c>
      <c r="AJ10" s="17">
        <f>O10+(1.07)*(1.1)*($Y$2*tc-$AT$3)</f>
        <v>29.98563600454035</v>
      </c>
      <c r="AK10" s="17">
        <f>P10+(1.07)*(1.1)*($Z$2*tc-$AU$3)</f>
        <v>20.905541412471322</v>
      </c>
      <c r="AL10" s="17">
        <f>Q10+(1.07)*(1.1)*($AA$2*tc-$AV$3)</f>
        <v>37.379217173176357</v>
      </c>
      <c r="AM10" s="17">
        <f>R10+(1.07)*(1.1)*($AB$2*tc-$AW$3)</f>
        <v>13.316922926427038</v>
      </c>
      <c r="AN10" s="17">
        <f>S10+(1.07)*(1.1)*($AC$2*tc-$AX$3)</f>
        <v>16.187905829155774</v>
      </c>
      <c r="AO10" s="17">
        <f>T10+(1.07)*(1.1)*($AD$2*tc-$AY$3)</f>
        <v>33.636097334518524</v>
      </c>
      <c r="AQ10" s="17">
        <f t="shared" si="10"/>
        <v>327402.19881072128</v>
      </c>
      <c r="AR10" s="17">
        <f t="shared" si="11"/>
        <v>5676662.0153535847</v>
      </c>
      <c r="AS10" s="17">
        <f t="shared" si="12"/>
        <v>1927302.0254771805</v>
      </c>
      <c r="AT10" s="17">
        <f t="shared" si="13"/>
        <v>522577.62446587067</v>
      </c>
      <c r="AU10" s="17">
        <f t="shared" si="14"/>
        <v>53113.563614144266</v>
      </c>
      <c r="AV10" s="17">
        <f t="shared" si="15"/>
        <v>20115861.299020059</v>
      </c>
      <c r="AW10" s="17">
        <f t="shared" si="16"/>
        <v>1264078.0735154187</v>
      </c>
      <c r="AX10" s="17">
        <f t="shared" si="17"/>
        <v>1251832.3051791196</v>
      </c>
      <c r="AY10" s="17">
        <f t="shared" si="18"/>
        <v>351.96636306149799</v>
      </c>
      <c r="BA10">
        <f t="shared" si="19"/>
        <v>192847.18962050433</v>
      </c>
      <c r="BB10">
        <f t="shared" si="20"/>
        <v>3009312.362765667</v>
      </c>
      <c r="BC10">
        <f t="shared" si="21"/>
        <v>1021701.4499656683</v>
      </c>
      <c r="BD10">
        <f t="shared" si="22"/>
        <v>246247.89107189674</v>
      </c>
      <c r="BE10">
        <f t="shared" si="23"/>
        <v>4692.7608508392441</v>
      </c>
      <c r="BF10">
        <f t="shared" si="24"/>
        <v>14650928.130869189</v>
      </c>
      <c r="BG10">
        <f t="shared" si="25"/>
        <v>575881.96383680333</v>
      </c>
      <c r="BH10">
        <f t="shared" si="26"/>
        <v>722767.76415678125</v>
      </c>
      <c r="BI10">
        <f t="shared" si="27"/>
        <v>292.39800248732723</v>
      </c>
      <c r="BJ10">
        <f t="shared" si="28"/>
        <v>20424671.911139835</v>
      </c>
      <c r="BK10" s="44">
        <f t="shared" si="29"/>
        <v>0.96326147976773291</v>
      </c>
    </row>
    <row r="11" spans="1:63" x14ac:dyDescent="0.25">
      <c r="A11" s="30">
        <v>2016</v>
      </c>
      <c r="B11" s="16">
        <v>312325.25915658969</v>
      </c>
      <c r="C11" s="16">
        <v>5566247.9471964408</v>
      </c>
      <c r="D11" s="16">
        <v>1904222.2307011255</v>
      </c>
      <c r="E11" s="16">
        <v>526585.22586437536</v>
      </c>
      <c r="F11" s="16">
        <v>56639.727762195049</v>
      </c>
      <c r="G11" s="16">
        <v>20624219.140711706</v>
      </c>
      <c r="H11" s="16">
        <v>1664100.229699546</v>
      </c>
      <c r="I11" s="16">
        <v>2230697.7714678193</v>
      </c>
      <c r="J11" s="31">
        <v>383.5424776655633</v>
      </c>
      <c r="K11" s="36"/>
      <c r="L11" s="71">
        <f t="shared" ref="L11:L15" si="30">L10*(1+$L$2)</f>
        <v>48.691753851177836</v>
      </c>
      <c r="M11" s="71">
        <f t="shared" ref="M11:M15" si="31">M10*(1+$M$2)</f>
        <v>34.734690928964987</v>
      </c>
      <c r="N11" s="71">
        <f t="shared" ref="N11:N15" si="32">N10*(1+$N$2)</f>
        <v>37.566783585611823</v>
      </c>
      <c r="O11" s="71">
        <f t="shared" ref="O11:O15" si="33">O10*(1+$O$2)</f>
        <v>32.10434314946162</v>
      </c>
      <c r="P11" s="71">
        <f t="shared" ref="P11:P15" si="34">P10*(1+$P$2)</f>
        <v>21.519614245712663</v>
      </c>
      <c r="Q11" s="71">
        <f t="shared" ref="Q11:Q15" si="35">Q10*(1+$Q$2)</f>
        <v>36.649265011171522</v>
      </c>
      <c r="R11" s="71">
        <f t="shared" ref="R11:R15" si="36">R10*(1+$R$2)</f>
        <v>11.161087998362259</v>
      </c>
      <c r="S11" s="71">
        <f t="shared" ref="S11:S15" si="37">S10*(1+$S$2)</f>
        <v>10.201780464001365</v>
      </c>
      <c r="T11" s="71">
        <f t="shared" ref="T11:T15" si="38">T10*(1+$T$2)</f>
        <v>26.897922389528933</v>
      </c>
      <c r="V11" s="45">
        <f t="shared" si="0"/>
        <v>183966.53625000533</v>
      </c>
      <c r="W11" s="45">
        <f t="shared" si="1"/>
        <v>2950779.6512126704</v>
      </c>
      <c r="X11" s="45">
        <f t="shared" si="2"/>
        <v>1009466.3879588366</v>
      </c>
      <c r="Y11" s="45">
        <f t="shared" si="3"/>
        <v>248136.34428235947</v>
      </c>
      <c r="Z11" s="45">
        <f t="shared" si="4"/>
        <v>5004.3092377601142</v>
      </c>
      <c r="AA11" s="45">
        <f t="shared" si="5"/>
        <v>15021178.953972196</v>
      </c>
      <c r="AB11" s="45">
        <f t="shared" si="6"/>
        <v>758121.92963329714</v>
      </c>
      <c r="AC11" s="45">
        <f t="shared" si="7"/>
        <v>1287933.2432330991</v>
      </c>
      <c r="AD11" s="45">
        <f t="shared" si="8"/>
        <v>318.63003431056825</v>
      </c>
      <c r="AE11" s="44">
        <f t="shared" si="9"/>
        <v>21464905.985814534</v>
      </c>
      <c r="AG11" s="17">
        <f>L11+(1.07)*(1.1)*($V$2*tc-$AQ$3)</f>
        <v>46.604715772308843</v>
      </c>
      <c r="AH11" s="17">
        <f>M11+(1.07)*(1.1)*($W$2*tc-$AR$3)</f>
        <v>32.856356657982893</v>
      </c>
      <c r="AI11" s="17">
        <f>N11+(1.07)*(1.1)*($X$2*tc-$AS$3)</f>
        <v>35.688449314629729</v>
      </c>
      <c r="AJ11" s="17">
        <f>O11+(1.07)*(1.1)*($Y$2*tc-$AT$3)</f>
        <v>30.434712686366424</v>
      </c>
      <c r="AK11" s="17">
        <f>P11+(1.07)*(1.1)*($Z$2*tc-$AU$3)</f>
        <v>21.206558533882315</v>
      </c>
      <c r="AL11" s="17">
        <f>Q11+(1.07)*(1.1)*($AA$2*tc-$AV$3)</f>
        <v>38.006307528038441</v>
      </c>
      <c r="AM11" s="17">
        <f>R11+(1.07)*(1.1)*($AB$2*tc-$AW$3)</f>
        <v>13.365184876440017</v>
      </c>
      <c r="AN11" s="17">
        <f>S11+(1.07)*(1.1)*($AC$2*tc-$AX$3)</f>
        <v>16.232019612585244</v>
      </c>
      <c r="AO11" s="17">
        <f>T11+(1.07)*(1.1)*($AD$2*tc-$AY$3)</f>
        <v>34.41953196722325</v>
      </c>
      <c r="AQ11" s="17">
        <f t="shared" si="10"/>
        <v>328473.10379080335</v>
      </c>
      <c r="AR11" s="17">
        <f t="shared" si="11"/>
        <v>5733364.9726648675</v>
      </c>
      <c r="AS11" s="17">
        <f t="shared" si="12"/>
        <v>2019998.3265198208</v>
      </c>
      <c r="AT11" s="17">
        <f t="shared" si="13"/>
        <v>559962.15502118075</v>
      </c>
      <c r="AU11" s="17">
        <f t="shared" si="14"/>
        <v>57602.925636188796</v>
      </c>
      <c r="AV11" s="17">
        <f t="shared" si="15"/>
        <v>20119388.277600549</v>
      </c>
      <c r="AW11" s="17">
        <f t="shared" si="16"/>
        <v>1376879.3017754164</v>
      </c>
      <c r="AX11" s="17">
        <f t="shared" si="17"/>
        <v>1368980.031432634</v>
      </c>
      <c r="AY11" s="17">
        <f t="shared" si="18"/>
        <v>358.59179438436212</v>
      </c>
      <c r="BA11">
        <f t="shared" si="19"/>
        <v>193477.97651353563</v>
      </c>
      <c r="BB11">
        <f t="shared" si="20"/>
        <v>3039371.7374440781</v>
      </c>
      <c r="BC11">
        <f t="shared" si="21"/>
        <v>1070841.6178946004</v>
      </c>
      <c r="BD11">
        <f t="shared" si="22"/>
        <v>263864.14821143146</v>
      </c>
      <c r="BE11">
        <f t="shared" si="23"/>
        <v>5089.4109889347565</v>
      </c>
      <c r="BF11">
        <f t="shared" si="24"/>
        <v>14653496.925162099</v>
      </c>
      <c r="BG11">
        <f t="shared" si="25"/>
        <v>627271.34730495873</v>
      </c>
      <c r="BH11">
        <f t="shared" si="26"/>
        <v>790405.09851059318</v>
      </c>
      <c r="BI11">
        <f t="shared" si="27"/>
        <v>297.90211619743184</v>
      </c>
      <c r="BJ11">
        <f t="shared" si="28"/>
        <v>20644116.164146431</v>
      </c>
      <c r="BK11" s="44">
        <f t="shared" si="29"/>
        <v>0.96176131299104983</v>
      </c>
    </row>
    <row r="12" spans="1:63" x14ac:dyDescent="0.25">
      <c r="A12" s="30">
        <v>2017</v>
      </c>
      <c r="B12" s="16">
        <v>313183.01153820707</v>
      </c>
      <c r="C12" s="16">
        <v>5623645.3462050855</v>
      </c>
      <c r="D12" s="16">
        <v>1997082.2569301627</v>
      </c>
      <c r="E12" s="16">
        <v>564637.56949955039</v>
      </c>
      <c r="F12" s="16">
        <v>61434.316050521877</v>
      </c>
      <c r="G12" s="16">
        <v>20619100.424481042</v>
      </c>
      <c r="H12" s="16">
        <v>1811242.1694255818</v>
      </c>
      <c r="I12" s="16">
        <v>2435301.1394184078</v>
      </c>
      <c r="J12" s="31">
        <v>389.85222056771795</v>
      </c>
      <c r="K12" s="36"/>
      <c r="L12" s="71">
        <f t="shared" si="30"/>
        <v>49.382518254444982</v>
      </c>
      <c r="M12" s="71">
        <f t="shared" si="31"/>
        <v>35.099586822334203</v>
      </c>
      <c r="N12" s="71">
        <f t="shared" si="32"/>
        <v>38.099723863867041</v>
      </c>
      <c r="O12" s="71">
        <f t="shared" si="33"/>
        <v>32.559790646910621</v>
      </c>
      <c r="P12" s="71">
        <f t="shared" si="34"/>
        <v>21.824901739328368</v>
      </c>
      <c r="Q12" s="71">
        <f t="shared" si="35"/>
        <v>37.287272039358108</v>
      </c>
      <c r="R12" s="71">
        <f t="shared" si="36"/>
        <v>11.209559545448828</v>
      </c>
      <c r="S12" s="71">
        <f t="shared" si="37"/>
        <v>10.246085829410207</v>
      </c>
      <c r="T12" s="71">
        <f t="shared" si="38"/>
        <v>27.704860061214802</v>
      </c>
      <c r="V12" s="45">
        <f>B12*$V$2</f>
        <v>184471.77151350104</v>
      </c>
      <c r="W12" s="45">
        <f t="shared" si="1"/>
        <v>2981207.163359798</v>
      </c>
      <c r="X12" s="45">
        <f t="shared" si="2"/>
        <v>1058693.3498920952</v>
      </c>
      <c r="Y12" s="45">
        <f t="shared" si="3"/>
        <v>266067.28684822691</v>
      </c>
      <c r="Z12" s="45">
        <f t="shared" si="4"/>
        <v>5427.9271365478489</v>
      </c>
      <c r="AA12" s="45">
        <f t="shared" si="5"/>
        <v>15017450.853917072</v>
      </c>
      <c r="AB12" s="45">
        <f t="shared" si="6"/>
        <v>825156.07173856522</v>
      </c>
      <c r="AC12" s="45">
        <f t="shared" si="7"/>
        <v>1406064.6560275904</v>
      </c>
      <c r="AD12" s="45">
        <f t="shared" si="8"/>
        <v>323.87188811941149</v>
      </c>
      <c r="AE12" s="44">
        <f t="shared" si="9"/>
        <v>21744862.952321514</v>
      </c>
      <c r="AG12" s="17">
        <f>L12+(1.07)*(1.1)*($V$2*tc-$AQ$3)</f>
        <v>47.295480175575989</v>
      </c>
      <c r="AH12" s="17">
        <f>M12+(1.07)*(1.1)*($W$2*tc-$AR$3)</f>
        <v>33.221252551352109</v>
      </c>
      <c r="AI12" s="17">
        <f>N12+(1.07)*(1.1)*($X$2*tc-$AS$3)</f>
        <v>36.221389592884947</v>
      </c>
      <c r="AJ12" s="17">
        <f>O12+(1.07)*(1.1)*($Y$2*tc-$AT$3)</f>
        <v>30.890160183815425</v>
      </c>
      <c r="AK12" s="17">
        <f>P12+(1.07)*(1.1)*($Z$2*tc-$AU$3)</f>
        <v>21.51184602749802</v>
      </c>
      <c r="AL12" s="17">
        <f>Q12+(1.07)*(1.1)*($AA$2*tc-$AV$3)</f>
        <v>38.644314556225027</v>
      </c>
      <c r="AM12" s="17">
        <f>R12+(1.07)*(1.1)*($AB$2*tc-$AW$3)</f>
        <v>13.413656423526586</v>
      </c>
      <c r="AN12" s="17">
        <f>S12+(1.07)*(1.1)*($AC$2*tc-$AX$3)</f>
        <v>16.276324977994086</v>
      </c>
      <c r="AO12" s="17">
        <f>T12+(1.07)*(1.1)*($AD$2*tc-$AY$3)</f>
        <v>35.226469638909116</v>
      </c>
      <c r="AQ12" s="17">
        <f t="shared" si="10"/>
        <v>329137.9473774397</v>
      </c>
      <c r="AR12" s="17">
        <f t="shared" si="11"/>
        <v>5790654.660856206</v>
      </c>
      <c r="AS12" s="17">
        <f t="shared" si="12"/>
        <v>2116710.9258449157</v>
      </c>
      <c r="AT12" s="17">
        <f t="shared" si="13"/>
        <v>599896.64697231655</v>
      </c>
      <c r="AU12" s="17">
        <f t="shared" si="14"/>
        <v>62464.206684614539</v>
      </c>
      <c r="AV12" s="17">
        <f t="shared" si="15"/>
        <v>20122775.208569974</v>
      </c>
      <c r="AW12" s="17">
        <f t="shared" si="16"/>
        <v>1499749.1115066994</v>
      </c>
      <c r="AX12" s="17">
        <f t="shared" si="17"/>
        <v>1497073.3968399239</v>
      </c>
      <c r="AY12" s="17">
        <f t="shared" si="18"/>
        <v>365.12652362219205</v>
      </c>
      <c r="BA12">
        <f t="shared" si="19"/>
        <v>193869.58419877957</v>
      </c>
      <c r="BB12">
        <f t="shared" si="20"/>
        <v>3069742.1499271342</v>
      </c>
      <c r="BC12">
        <f t="shared" si="21"/>
        <v>1122110.9060778748</v>
      </c>
      <c r="BD12">
        <f t="shared" si="22"/>
        <v>282681.99261119118</v>
      </c>
      <c r="BE12">
        <f t="shared" si="23"/>
        <v>5518.9214159644343</v>
      </c>
      <c r="BF12">
        <f t="shared" si="24"/>
        <v>14655963.718976175</v>
      </c>
      <c r="BG12">
        <f t="shared" si="25"/>
        <v>683247.72155494883</v>
      </c>
      <c r="BH12">
        <f t="shared" si="26"/>
        <v>864362.09333786555</v>
      </c>
      <c r="BI12">
        <f t="shared" si="27"/>
        <v>303.33087864881173</v>
      </c>
      <c r="BJ12">
        <f t="shared" si="28"/>
        <v>20877800.418978583</v>
      </c>
      <c r="BK12" s="44">
        <f t="shared" si="29"/>
        <v>0.96012563816823859</v>
      </c>
    </row>
    <row r="13" spans="1:63" x14ac:dyDescent="0.25">
      <c r="A13" s="30">
        <v>2018</v>
      </c>
      <c r="B13" s="16">
        <v>313623.42590455769</v>
      </c>
      <c r="C13" s="16">
        <v>5681634.6091486933</v>
      </c>
      <c r="D13" s="16">
        <v>2094006.7911993861</v>
      </c>
      <c r="E13" s="16">
        <v>605306.52202319249</v>
      </c>
      <c r="F13" s="16">
        <v>66626.352557223145</v>
      </c>
      <c r="G13" s="16">
        <v>20613982.978662394</v>
      </c>
      <c r="H13" s="16">
        <v>1971403.4334540197</v>
      </c>
      <c r="I13" s="16">
        <v>2658652.9763876698</v>
      </c>
      <c r="J13" s="31">
        <v>395.44529572725071</v>
      </c>
      <c r="K13" s="36"/>
      <c r="L13" s="71">
        <f t="shared" si="30"/>
        <v>50.083082170423857</v>
      </c>
      <c r="M13" s="71">
        <f t="shared" si="31"/>
        <v>35.468316030739103</v>
      </c>
      <c r="N13" s="71">
        <f t="shared" si="32"/>
        <v>38.640224686653291</v>
      </c>
      <c r="O13" s="71">
        <f t="shared" si="33"/>
        <v>33.021699339406247</v>
      </c>
      <c r="P13" s="71">
        <f t="shared" si="34"/>
        <v>22.134520186682089</v>
      </c>
      <c r="Q13" s="71">
        <f t="shared" si="35"/>
        <v>37.936385783269863</v>
      </c>
      <c r="R13" s="71">
        <f t="shared" si="36"/>
        <v>11.258241599869208</v>
      </c>
      <c r="S13" s="71">
        <f t="shared" si="37"/>
        <v>10.290583608820796</v>
      </c>
      <c r="T13" s="71">
        <f t="shared" si="38"/>
        <v>28.536005863051248</v>
      </c>
      <c r="V13" s="45">
        <f t="shared" si="0"/>
        <v>184731.18538771363</v>
      </c>
      <c r="W13" s="45">
        <f t="shared" si="1"/>
        <v>3011948.4344469048</v>
      </c>
      <c r="X13" s="45">
        <f t="shared" si="2"/>
        <v>1110074.9890389717</v>
      </c>
      <c r="Y13" s="45">
        <f t="shared" si="3"/>
        <v>285231.22216077684</v>
      </c>
      <c r="Z13" s="45">
        <f t="shared" si="4"/>
        <v>5886.6609137009109</v>
      </c>
      <c r="AA13" s="45">
        <f t="shared" si="5"/>
        <v>15013723.679137522</v>
      </c>
      <c r="AB13" s="45">
        <f t="shared" si="6"/>
        <v>898121.48834671639</v>
      </c>
      <c r="AC13" s="45">
        <f t="shared" si="7"/>
        <v>1535020.8326326387</v>
      </c>
      <c r="AD13" s="45">
        <f t="shared" si="8"/>
        <v>328.51836623789893</v>
      </c>
      <c r="AE13" s="44">
        <f t="shared" si="9"/>
        <v>22045067.010431182</v>
      </c>
      <c r="AG13" s="17">
        <f>L13+(1.07)*(1.1)*($V$2*tc-$AQ$3)</f>
        <v>47.996044091554865</v>
      </c>
      <c r="AH13" s="17">
        <f>M13+(1.07)*(1.1)*($W$2*tc-$AR$3)</f>
        <v>33.589981759757009</v>
      </c>
      <c r="AI13" s="17">
        <f>N13+(1.07)*(1.1)*($X$2*tc-$AS$3)</f>
        <v>36.761890415671196</v>
      </c>
      <c r="AJ13" s="17">
        <f>O13+(1.07)*(1.1)*($Y$2*tc-$AT$3)</f>
        <v>31.352068876311051</v>
      </c>
      <c r="AK13" s="17">
        <f>P13+(1.07)*(1.1)*($Z$2*tc-$AU$3)</f>
        <v>21.821464474851741</v>
      </c>
      <c r="AL13" s="17">
        <f>Q13+(1.07)*(1.1)*($AA$2*tc-$AV$3)</f>
        <v>39.293428300136782</v>
      </c>
      <c r="AM13" s="17">
        <f>R13+(1.07)*(1.1)*($AB$2*tc-$AW$3)</f>
        <v>13.462338477946966</v>
      </c>
      <c r="AN13" s="17">
        <f>S13+(1.07)*(1.1)*($AC$2*tc-$AX$3)</f>
        <v>16.320822757404677</v>
      </c>
      <c r="AO13" s="17">
        <f>T13+(1.07)*(1.1)*($AD$2*tc-$AY$3)</f>
        <v>36.057615440745565</v>
      </c>
      <c r="AQ13" s="17">
        <f t="shared" si="10"/>
        <v>329366.84486161591</v>
      </c>
      <c r="AR13" s="17">
        <f t="shared" si="11"/>
        <v>5848537.1094804043</v>
      </c>
      <c r="AS13" s="17">
        <f t="shared" si="12"/>
        <v>2217590.2992165531</v>
      </c>
      <c r="AT13" s="17">
        <f t="shared" si="13"/>
        <v>642546.14602489269</v>
      </c>
      <c r="AU13" s="17">
        <f t="shared" si="14"/>
        <v>67727.418201453285</v>
      </c>
      <c r="AV13" s="17">
        <f t="shared" si="15"/>
        <v>20126024.25912407</v>
      </c>
      <c r="AW13" s="17">
        <f t="shared" si="16"/>
        <v>1633586.4606388041</v>
      </c>
      <c r="AX13" s="17">
        <f t="shared" si="17"/>
        <v>1637133.5800192934</v>
      </c>
      <c r="AY13" s="17">
        <f t="shared" si="18"/>
        <v>370.99571384308842</v>
      </c>
      <c r="BA13">
        <f t="shared" si="19"/>
        <v>194004.4099167953</v>
      </c>
      <c r="BB13">
        <f t="shared" si="20"/>
        <v>3100426.7966016815</v>
      </c>
      <c r="BC13">
        <f t="shared" si="21"/>
        <v>1175589.0847353747</v>
      </c>
      <c r="BD13">
        <f t="shared" si="22"/>
        <v>302779.1967494362</v>
      </c>
      <c r="BE13">
        <f t="shared" si="23"/>
        <v>5983.9437431300275</v>
      </c>
      <c r="BF13">
        <f t="shared" si="24"/>
        <v>14658330.090738937</v>
      </c>
      <c r="BG13">
        <f t="shared" si="25"/>
        <v>744220.62905785581</v>
      </c>
      <c r="BH13">
        <f t="shared" si="26"/>
        <v>945228.34437254968</v>
      </c>
      <c r="BI13">
        <f t="shared" si="27"/>
        <v>308.2067408814433</v>
      </c>
      <c r="BJ13">
        <f t="shared" si="28"/>
        <v>21126870.702656638</v>
      </c>
      <c r="BK13" s="44">
        <f t="shared" si="29"/>
        <v>0.95834912602714817</v>
      </c>
    </row>
    <row r="14" spans="1:63" x14ac:dyDescent="0.25">
      <c r="A14" s="30">
        <v>2019</v>
      </c>
      <c r="B14" s="16">
        <v>313615.88801428757</v>
      </c>
      <c r="C14" s="16">
        <v>5740221.8391420739</v>
      </c>
      <c r="D14" s="16">
        <v>2195148.9483676665</v>
      </c>
      <c r="E14" s="16">
        <v>648762.43502720993</v>
      </c>
      <c r="F14" s="16">
        <v>72247.900248445716</v>
      </c>
      <c r="G14" s="16">
        <v>20608866.802940462</v>
      </c>
      <c r="H14" s="16">
        <v>2145736.7599202911</v>
      </c>
      <c r="I14" s="16">
        <v>2902469.7409487511</v>
      </c>
      <c r="J14" s="31">
        <v>400.86429944681311</v>
      </c>
      <c r="K14" s="36"/>
      <c r="L14" s="71">
        <f t="shared" si="30"/>
        <v>50.793584619667541</v>
      </c>
      <c r="M14" s="71">
        <f t="shared" si="31"/>
        <v>35.840918824033167</v>
      </c>
      <c r="N14" s="71">
        <f t="shared" si="32"/>
        <v>39.188393311455023</v>
      </c>
      <c r="O14" s="71">
        <f t="shared" si="33"/>
        <v>33.490160888537737</v>
      </c>
      <c r="P14" s="71">
        <f t="shared" si="34"/>
        <v>22.448531028745609</v>
      </c>
      <c r="Q14" s="71">
        <f t="shared" si="35"/>
        <v>38.596799593651767</v>
      </c>
      <c r="R14" s="71">
        <f t="shared" si="36"/>
        <v>11.307135075836795</v>
      </c>
      <c r="S14" s="71">
        <f t="shared" si="37"/>
        <v>10.335274637868899</v>
      </c>
      <c r="T14" s="71">
        <f t="shared" si="38"/>
        <v>29.392086038942786</v>
      </c>
      <c r="V14" s="45">
        <f t="shared" si="0"/>
        <v>184726.74540240035</v>
      </c>
      <c r="W14" s="45">
        <f t="shared" si="1"/>
        <v>3043006.699857532</v>
      </c>
      <c r="X14" s="45">
        <f t="shared" si="2"/>
        <v>1163692.4746564126</v>
      </c>
      <c r="Y14" s="45">
        <f t="shared" si="3"/>
        <v>305708.42292646324</v>
      </c>
      <c r="Z14" s="45">
        <f t="shared" si="4"/>
        <v>6383.3434394328096</v>
      </c>
      <c r="AA14" s="45">
        <f t="shared" si="5"/>
        <v>15009997.429403905</v>
      </c>
      <c r="AB14" s="45">
        <f t="shared" si="6"/>
        <v>977543.33776492346</v>
      </c>
      <c r="AC14" s="45">
        <f t="shared" si="7"/>
        <v>1675792.8010957295</v>
      </c>
      <c r="AD14" s="45">
        <f t="shared" si="8"/>
        <v>333.02023354501597</v>
      </c>
      <c r="AE14" s="44">
        <f t="shared" si="9"/>
        <v>22367184.27478034</v>
      </c>
      <c r="AG14" s="17">
        <f>L14+(1.07)*(1.1)*($V$2*tc-$AQ$3)</f>
        <v>48.706546540798549</v>
      </c>
      <c r="AH14" s="17">
        <f>M14+(1.07)*(1.1)*($W$2*tc-$AR$3)</f>
        <v>33.962584553051073</v>
      </c>
      <c r="AI14" s="17">
        <f>N14+(1.07)*(1.1)*($X$2*tc-$AS$3)</f>
        <v>37.310059040472929</v>
      </c>
      <c r="AJ14" s="17">
        <f>O14+(1.07)*(1.1)*($Y$2*tc-$AT$3)</f>
        <v>31.820530425442541</v>
      </c>
      <c r="AK14" s="17">
        <f>P14+(1.07)*(1.1)*($Z$2*tc-$AU$3)</f>
        <v>22.135475316915262</v>
      </c>
      <c r="AL14" s="17">
        <f>Q14+(1.07)*(1.1)*($AA$2*tc-$AV$3)</f>
        <v>39.953842110518686</v>
      </c>
      <c r="AM14" s="17">
        <f>R14+(1.07)*(1.1)*($AB$2*tc-$AW$3)</f>
        <v>13.511231953914553</v>
      </c>
      <c r="AN14" s="17">
        <f>S14+(1.07)*(1.1)*($AC$2*tc-$AX$3)</f>
        <v>16.36551378645278</v>
      </c>
      <c r="AO14" s="17">
        <f>T14+(1.07)*(1.1)*($AD$2*tc-$AY$3)</f>
        <v>36.913695616637099</v>
      </c>
      <c r="AQ14" s="17">
        <f t="shared" si="10"/>
        <v>329128.55682892504</v>
      </c>
      <c r="AR14" s="17">
        <f t="shared" si="11"/>
        <v>5907018.4105404606</v>
      </c>
      <c r="AS14" s="17">
        <f t="shared" si="12"/>
        <v>2322791.2222225894</v>
      </c>
      <c r="AT14" s="17">
        <f t="shared" si="13"/>
        <v>688085.70286132849</v>
      </c>
      <c r="AU14" s="17">
        <f t="shared" si="14"/>
        <v>73424.912124177805</v>
      </c>
      <c r="AV14" s="17">
        <f t="shared" si="15"/>
        <v>20129137.567909092</v>
      </c>
      <c r="AW14" s="17">
        <f t="shared" si="16"/>
        <v>1779370.5910720155</v>
      </c>
      <c r="AX14" s="17">
        <f t="shared" si="17"/>
        <v>1790276.8959960358</v>
      </c>
      <c r="AY14" s="17">
        <f t="shared" si="18"/>
        <v>376.70542862333934</v>
      </c>
      <c r="BA14">
        <f t="shared" si="19"/>
        <v>193864.05295648301</v>
      </c>
      <c r="BB14">
        <f t="shared" si="20"/>
        <v>3131428.9069606662</v>
      </c>
      <c r="BC14">
        <f t="shared" si="21"/>
        <v>1231358.2035097827</v>
      </c>
      <c r="BD14">
        <f t="shared" si="22"/>
        <v>324238.24762782577</v>
      </c>
      <c r="BE14">
        <f t="shared" si="23"/>
        <v>6487.336372227428</v>
      </c>
      <c r="BF14">
        <f t="shared" si="24"/>
        <v>14660597.598084535</v>
      </c>
      <c r="BG14">
        <f t="shared" si="25"/>
        <v>810636.18762904429</v>
      </c>
      <c r="BH14">
        <f t="shared" si="26"/>
        <v>1033648.3760542115</v>
      </c>
      <c r="BI14">
        <f t="shared" si="27"/>
        <v>312.95011800985952</v>
      </c>
      <c r="BJ14">
        <f t="shared" si="28"/>
        <v>21392571.859312784</v>
      </c>
      <c r="BK14" s="44">
        <f t="shared" si="29"/>
        <v>0.95642668279142939</v>
      </c>
    </row>
    <row r="15" spans="1:63" x14ac:dyDescent="0.25">
      <c r="A15" s="30">
        <v>2020</v>
      </c>
      <c r="B15" s="16">
        <v>313128.39972121781</v>
      </c>
      <c r="C15" s="16">
        <v>5799413.2022335036</v>
      </c>
      <c r="D15" s="16">
        <v>2300666.2142754998</v>
      </c>
      <c r="E15" s="16">
        <v>695186.02385004493</v>
      </c>
      <c r="F15" s="16">
        <v>78333.519678885146</v>
      </c>
      <c r="G15" s="16">
        <v>20603751.897000052</v>
      </c>
      <c r="H15" s="16">
        <v>2335497.0181068145</v>
      </c>
      <c r="I15" s="16">
        <v>3168624.9082303885</v>
      </c>
      <c r="J15" s="31">
        <v>406.07355596751097</v>
      </c>
      <c r="K15" s="36"/>
      <c r="L15" s="71">
        <f t="shared" si="30"/>
        <v>51.51416659494086</v>
      </c>
      <c r="M15" s="71">
        <f t="shared" si="31"/>
        <v>36.217435895113923</v>
      </c>
      <c r="N15" s="71">
        <f t="shared" si="32"/>
        <v>39.744338517362422</v>
      </c>
      <c r="O15" s="71">
        <f t="shared" si="33"/>
        <v>33.965268256249281</v>
      </c>
      <c r="P15" s="71">
        <f t="shared" si="34"/>
        <v>22.766996578121592</v>
      </c>
      <c r="Q15" s="71">
        <f t="shared" si="35"/>
        <v>39.268710187186258</v>
      </c>
      <c r="R15" s="71">
        <f t="shared" si="36"/>
        <v>11.356240891535323</v>
      </c>
      <c r="S15" s="71">
        <f t="shared" si="37"/>
        <v>10.380159755819372</v>
      </c>
      <c r="T15" s="71">
        <f t="shared" si="38"/>
        <v>30.273848620111071</v>
      </c>
      <c r="V15" s="45">
        <f t="shared" si="0"/>
        <v>184439.60393654308</v>
      </c>
      <c r="W15" s="45">
        <f t="shared" si="1"/>
        <v>3074385.2283375114</v>
      </c>
      <c r="X15" s="45">
        <f t="shared" si="2"/>
        <v>1219629.2931463711</v>
      </c>
      <c r="Y15" s="45">
        <f t="shared" si="3"/>
        <v>327584.0454338303</v>
      </c>
      <c r="Z15" s="45">
        <f t="shared" si="4"/>
        <v>6921.02825425227</v>
      </c>
      <c r="AA15" s="45">
        <f t="shared" si="5"/>
        <v>15006272.104486659</v>
      </c>
      <c r="AB15" s="45">
        <f t="shared" si="6"/>
        <v>1063993.3066649663</v>
      </c>
      <c r="AC15" s="45">
        <f t="shared" si="7"/>
        <v>1829462.2457801737</v>
      </c>
      <c r="AD15" s="45">
        <f t="shared" si="8"/>
        <v>337.34785220677429</v>
      </c>
      <c r="AE15" s="44">
        <f t="shared" si="9"/>
        <v>22713024.203892514</v>
      </c>
      <c r="AG15" s="17">
        <f>L15+(1.07)*(1.1)*($V$2*tc-$AQ$3)</f>
        <v>49.427128516071868</v>
      </c>
      <c r="AH15" s="17">
        <f>M15+(1.07)*(1.1)*($W$2*tc-$AR$3)</f>
        <v>34.339101624131828</v>
      </c>
      <c r="AI15" s="17">
        <f>N15+(1.07)*(1.1)*($X$2*tc-$AS$3)</f>
        <v>37.866004246380328</v>
      </c>
      <c r="AJ15" s="17">
        <f>O15+(1.07)*(1.1)*($Y$2*tc-$AT$3)</f>
        <v>32.295637793154086</v>
      </c>
      <c r="AK15" s="17">
        <f>P15+(1.07)*(1.1)*($Z$2*tc-$AU$3)</f>
        <v>22.453940866291244</v>
      </c>
      <c r="AL15" s="17">
        <f>Q15+(1.07)*(1.1)*($AA$2*tc-$AV$3)</f>
        <v>40.625752704053177</v>
      </c>
      <c r="AM15" s="17">
        <f>R15+(1.07)*(1.1)*($AB$2*tc-$AW$3)</f>
        <v>13.560337769613081</v>
      </c>
      <c r="AN15" s="17">
        <f>S15+(1.07)*(1.1)*($AC$2*tc-$AX$3)</f>
        <v>16.410398904403252</v>
      </c>
      <c r="AO15" s="17">
        <f>T15+(1.07)*(1.1)*($AD$2*tc-$AY$3)</f>
        <v>37.795458197805388</v>
      </c>
      <c r="AQ15" s="17">
        <f t="shared" si="10"/>
        <v>328390.45347993181</v>
      </c>
      <c r="AR15" s="17">
        <f t="shared" si="11"/>
        <v>5966104.7191293584</v>
      </c>
      <c r="AS15" s="17">
        <f t="shared" si="12"/>
        <v>2432472.8183773356</v>
      </c>
      <c r="AT15" s="17">
        <f t="shared" si="13"/>
        <v>736700.9281825684</v>
      </c>
      <c r="AU15" s="17">
        <f t="shared" si="14"/>
        <v>79591.555559388536</v>
      </c>
      <c r="AV15" s="17">
        <f t="shared" si="15"/>
        <v>20132117.245239716</v>
      </c>
      <c r="AW15" s="17">
        <f t="shared" si="16"/>
        <v>1938168.2006428649</v>
      </c>
      <c r="AX15" s="17">
        <f t="shared" si="17"/>
        <v>1957723.6474614954</v>
      </c>
      <c r="AY15" s="17">
        <f t="shared" si="18"/>
        <v>382.22090154139516</v>
      </c>
      <c r="BA15">
        <f t="shared" si="19"/>
        <v>193429.29363898336</v>
      </c>
      <c r="BB15">
        <f t="shared" si="20"/>
        <v>3162751.7439423008</v>
      </c>
      <c r="BC15">
        <f t="shared" si="21"/>
        <v>1289502.6169667798</v>
      </c>
      <c r="BD15">
        <f t="shared" si="22"/>
        <v>347146.60831697017</v>
      </c>
      <c r="BE15">
        <f t="shared" si="23"/>
        <v>7032.1799286506566</v>
      </c>
      <c r="BF15">
        <f t="shared" si="24"/>
        <v>14662767.778012466</v>
      </c>
      <c r="BG15">
        <f t="shared" si="25"/>
        <v>882980.35779404896</v>
      </c>
      <c r="BH15">
        <f t="shared" si="26"/>
        <v>1130326.7519607109</v>
      </c>
      <c r="BI15">
        <f t="shared" si="27"/>
        <v>317.53212763709962</v>
      </c>
      <c r="BJ15">
        <f t="shared" si="28"/>
        <v>21676254.862688549</v>
      </c>
      <c r="BK15" s="44">
        <f t="shared" si="29"/>
        <v>0.95435353161705849</v>
      </c>
    </row>
    <row r="16" spans="1:63" x14ac:dyDescent="0.25">
      <c r="A16" s="30"/>
      <c r="B16" s="16"/>
      <c r="C16" s="16"/>
      <c r="D16" s="16"/>
      <c r="E16" s="16"/>
      <c r="F16" s="16"/>
      <c r="G16" s="16"/>
      <c r="H16" s="16"/>
      <c r="I16" s="16"/>
      <c r="J16" s="31"/>
      <c r="K16" s="36"/>
      <c r="L16" s="37"/>
      <c r="M16" s="37"/>
      <c r="N16" s="37"/>
      <c r="O16" s="37"/>
      <c r="P16" s="37"/>
      <c r="Q16" s="37"/>
      <c r="R16" s="37"/>
      <c r="S16" s="37"/>
      <c r="T16" s="37"/>
      <c r="AD16" s="17" t="s">
        <v>53</v>
      </c>
      <c r="AE16" s="44">
        <f>SUM(AE8:AE15)</f>
        <v>173358145.52005148</v>
      </c>
      <c r="BA16"/>
      <c r="BB16"/>
      <c r="BC16"/>
      <c r="BD16"/>
      <c r="BE16"/>
      <c r="BF16"/>
      <c r="BG16" t="s">
        <v>54</v>
      </c>
      <c r="BH16" s="72">
        <v>12.9427</v>
      </c>
      <c r="BI16" t="s">
        <v>53</v>
      </c>
      <c r="BJ16">
        <f>SUM(BJ8:BJ15)</f>
        <v>166486652.65336615</v>
      </c>
      <c r="BK16" s="44">
        <f>BJ16/AE16</f>
        <v>0.96036244592908071</v>
      </c>
    </row>
    <row r="17" spans="1:63" x14ac:dyDescent="0.25">
      <c r="A17" s="30">
        <v>2021</v>
      </c>
      <c r="B17" s="16">
        <v>312127.54306931136</v>
      </c>
      <c r="C17" s="16">
        <v>5859214.9280535318</v>
      </c>
      <c r="D17" s="16">
        <v>2410720.4929945692</v>
      </c>
      <c r="E17" s="16">
        <v>744768.94326194853</v>
      </c>
      <c r="F17" s="16">
        <v>84920.455001232185</v>
      </c>
      <c r="G17" s="16">
        <v>20598638.260525953</v>
      </c>
      <c r="H17" s="16">
        <v>2542050.2629747936</v>
      </c>
      <c r="I17" s="16">
        <v>3459163.3224755796</v>
      </c>
      <c r="J17" s="31">
        <v>411.05689745004236</v>
      </c>
      <c r="K17" s="36"/>
      <c r="L17" s="71">
        <f>51.51*(1+$L$2)</f>
        <v>52.240745384958643</v>
      </c>
      <c r="M17" s="71">
        <f>36.22*(1+$M$2)</f>
        <v>36.60049940576301</v>
      </c>
      <c r="N17" s="71">
        <f>39.74*(1+$N$2)</f>
        <v>40.303770561022262</v>
      </c>
      <c r="O17" s="71">
        <f>33.97*(1+$O$2)</f>
        <v>34.451914593807906</v>
      </c>
      <c r="P17" s="71">
        <f>22.77*(1+$P$2)</f>
        <v>23.093026061260112</v>
      </c>
      <c r="Q17" s="71">
        <f>39.27*(1+$Q$2)</f>
        <v>39.953629971549226</v>
      </c>
      <c r="R17" s="71">
        <f>11.36*(1+$R$2)</f>
        <v>11.409335403052483</v>
      </c>
      <c r="S17" s="71">
        <f>10.38*(1+$S$2)</f>
        <v>10.425079355958168</v>
      </c>
      <c r="T17" s="71">
        <f>30.27*(1+$T$2)</f>
        <v>31.178100000000001</v>
      </c>
      <c r="V17" s="44">
        <f>B17*$V$2</f>
        <v>183850.07706948399</v>
      </c>
      <c r="W17" s="44">
        <f>C17*$W$2</f>
        <v>3106087.3223389145</v>
      </c>
      <c r="X17" s="44">
        <f>D17*$X$2</f>
        <v>1277971.2731037468</v>
      </c>
      <c r="Y17" s="44">
        <f>E17*$Y$2</f>
        <v>350948.40082667483</v>
      </c>
      <c r="Z17" s="44">
        <f>F17*$Z$2</f>
        <v>7503.0060035194774</v>
      </c>
      <c r="AA17" s="44">
        <f>G17*$AA$2</f>
        <v>15002547.704156207</v>
      </c>
      <c r="AB17" s="44">
        <f>H17*$AB$2</f>
        <v>1158093.7350986574</v>
      </c>
      <c r="AC17" s="44">
        <f>I17*$AC$2</f>
        <v>1997209.7940714816</v>
      </c>
      <c r="AD17" s="44">
        <f>J17*$AD$2</f>
        <v>341.48779070126562</v>
      </c>
      <c r="AE17" s="44">
        <f t="shared" si="9"/>
        <v>23084552.800459385</v>
      </c>
      <c r="AG17" s="17">
        <f>L17+(1.07)*(1.1)*($V$2*tc-$AQ$3)</f>
        <v>50.15370730608965</v>
      </c>
      <c r="AH17" s="17">
        <f>M17+(1.07)*(1.1)*($W$2*tc-$AR$3)</f>
        <v>34.722165134780916</v>
      </c>
      <c r="AI17" s="17">
        <f>N17+(1.07)*(1.1)*($X$2*tc-$AS$3)</f>
        <v>38.425436290040167</v>
      </c>
      <c r="AJ17" s="17">
        <f>O17+(1.07)*(1.1)*($Y$2*tc-$AT$3)</f>
        <v>32.782284130712711</v>
      </c>
      <c r="AK17" s="17">
        <f>P17+(1.07)*(1.1)*($Z$2*tc-$AU$3)</f>
        <v>22.779970349429764</v>
      </c>
      <c r="AL17" s="17">
        <f>Q17+(1.07)*(1.1)*($AA$2*tc-$AV$3)</f>
        <v>41.310672488416145</v>
      </c>
      <c r="AM17" s="17">
        <f>R17+(1.07)*(1.1)*($AB$2*tc-$AW$3)</f>
        <v>13.61343228113024</v>
      </c>
      <c r="AN17" s="17">
        <f>S17+(1.07)*(1.1)*($AC$2*tc-$AX$3)</f>
        <v>16.455318504542049</v>
      </c>
      <c r="AO17" s="17">
        <f>T17+(1.07)*(1.1)*($AD$2*tc-$AY$3)</f>
        <v>38.699709577694314</v>
      </c>
      <c r="AQ17" s="17">
        <f t="shared" si="10"/>
        <v>327119.74623415386</v>
      </c>
      <c r="AR17" s="17">
        <f t="shared" si="11"/>
        <v>6025789.9742366681</v>
      </c>
      <c r="AS17" s="17">
        <f t="shared" si="12"/>
        <v>2546814.2413763609</v>
      </c>
      <c r="AT17" s="17">
        <f t="shared" si="13"/>
        <v>788582.13641910197</v>
      </c>
      <c r="AU17" s="17">
        <f t="shared" si="14"/>
        <v>86264.737817912086</v>
      </c>
      <c r="AV17" s="17">
        <f t="shared" si="15"/>
        <v>20134980.181158233</v>
      </c>
      <c r="AW17" s="17">
        <f t="shared" si="16"/>
        <v>2111260.2041533156</v>
      </c>
      <c r="AX17" s="17">
        <f t="shared" si="17"/>
        <v>2140795.1048599957</v>
      </c>
      <c r="AY17" s="17">
        <f t="shared" si="18"/>
        <v>387.52298000760931</v>
      </c>
      <c r="BA17">
        <f t="shared" si="19"/>
        <v>192680.81875986271</v>
      </c>
      <c r="BB17">
        <f t="shared" si="20"/>
        <v>3194392.0944834212</v>
      </c>
      <c r="BC17">
        <f t="shared" si="21"/>
        <v>1350117.298072777</v>
      </c>
      <c r="BD17">
        <f t="shared" si="22"/>
        <v>371593.95836868038</v>
      </c>
      <c r="BE17">
        <f t="shared" si="23"/>
        <v>7621.7778829663202</v>
      </c>
      <c r="BF17">
        <f t="shared" si="24"/>
        <v>14664852.931999261</v>
      </c>
      <c r="BG17">
        <f t="shared" si="25"/>
        <v>961836.6919038815</v>
      </c>
      <c r="BH17">
        <f t="shared" si="26"/>
        <v>1236026.3312073932</v>
      </c>
      <c r="BI17">
        <f t="shared" si="27"/>
        <v>321.93685864340091</v>
      </c>
      <c r="BJ17">
        <f t="shared" si="28"/>
        <v>21979443.839536887</v>
      </c>
      <c r="BK17" s="44">
        <f t="shared" si="29"/>
        <v>0.95212777260729498</v>
      </c>
    </row>
    <row r="18" spans="1:63" x14ac:dyDescent="0.25">
      <c r="A18" s="30">
        <v>2022</v>
      </c>
      <c r="B18" s="16">
        <v>310578.44480538392</v>
      </c>
      <c r="C18" s="16">
        <v>5919633.3104707617</v>
      </c>
      <c r="D18" s="16">
        <v>2525478.1502167098</v>
      </c>
      <c r="E18" s="16">
        <v>797714.39121826738</v>
      </c>
      <c r="F18" s="16">
        <v>92048.833056839139</v>
      </c>
      <c r="G18" s="16">
        <v>20593525.893203165</v>
      </c>
      <c r="H18" s="16">
        <v>2766883.5929423524</v>
      </c>
      <c r="I18" s="16">
        <v>3776316.860620874</v>
      </c>
      <c r="J18" s="31">
        <v>415.70765348233851</v>
      </c>
      <c r="K18" s="36"/>
      <c r="L18" s="71">
        <f>52.24*(1+$L$2)</f>
        <v>52.9811015125265</v>
      </c>
      <c r="M18" s="71">
        <f>36.6*(1+$M$2)</f>
        <v>36.984491392902441</v>
      </c>
      <c r="N18" s="71">
        <f>40.3*(1+$N$2)</f>
        <v>40.871714987649646</v>
      </c>
      <c r="O18" s="71">
        <f>34.45*(1+$O$2)</f>
        <v>34.938724102345674</v>
      </c>
      <c r="P18" s="71">
        <f>23.09*(1+$P$2)</f>
        <v>23.41756573361862</v>
      </c>
      <c r="Q18" s="71">
        <f>39.95*(1+$Q$2)</f>
        <v>40.645467719974327</v>
      </c>
      <c r="R18" s="71">
        <f>11.41*(1+$R$2)</f>
        <v>11.459552548312397</v>
      </c>
      <c r="S18" s="71">
        <f>10.43*(1+$S$2)</f>
        <v>10.475296501218081</v>
      </c>
      <c r="T18" s="71">
        <f>31.18*(1+$T$2)</f>
        <v>32.115400000000001</v>
      </c>
      <c r="V18" s="44">
        <f t="shared" ref="V18:V26" si="39">B18*$V$2</f>
        <v>182937.6236781214</v>
      </c>
      <c r="W18" s="44">
        <f t="shared" ref="W18:W26" si="40">C18*$W$2</f>
        <v>3138116.3183676922</v>
      </c>
      <c r="X18" s="44">
        <f t="shared" ref="X18:X26" si="41">D18*$X$2</f>
        <v>1338806.6083177461</v>
      </c>
      <c r="Y18" s="44">
        <f t="shared" ref="Y18:Y26" si="42">E18*$Y$2</f>
        <v>375897.23960335669</v>
      </c>
      <c r="Z18" s="44">
        <f t="shared" ref="Z18:Z26" si="43">F18*$Z$2</f>
        <v>8132.8220277718137</v>
      </c>
      <c r="AA18" s="44">
        <f t="shared" ref="AA18:AA26" si="44">G18*$AA$2</f>
        <v>14998824.228183124</v>
      </c>
      <c r="AB18" s="44">
        <f t="shared" ref="AB18:AB26" si="45">H18*$AB$2</f>
        <v>1260522.1074519625</v>
      </c>
      <c r="AC18" s="44">
        <f t="shared" ref="AC18:AC26" si="46">I18*$AC$2</f>
        <v>2180324.0600249292</v>
      </c>
      <c r="AD18" s="44">
        <f t="shared" ref="AD18:AD26" si="47">J18*$AD$2</f>
        <v>345.35143199377654</v>
      </c>
      <c r="AE18" s="44">
        <f t="shared" si="9"/>
        <v>23483906.3590867</v>
      </c>
      <c r="AG18" s="17">
        <f>L18+(1.07)*(1.1)*($V$2*tc-$AQ$3)</f>
        <v>50.894063433657507</v>
      </c>
      <c r="AH18" s="17">
        <f>M18+(1.07)*(1.1)*($W$2*tc-$AR$3)</f>
        <v>35.106157121920347</v>
      </c>
      <c r="AI18" s="17">
        <f>N18+(1.07)*(1.1)*($X$2*tc-$AS$3)</f>
        <v>38.993380716667552</v>
      </c>
      <c r="AJ18" s="17">
        <f>O18+(1.07)*(1.1)*($Y$2*tc-$AT$3)</f>
        <v>33.269093639250478</v>
      </c>
      <c r="AK18" s="17">
        <f>P18+(1.07)*(1.1)*($Z$2*tc-$AU$3)</f>
        <v>23.104510021788272</v>
      </c>
      <c r="AL18" s="17">
        <f>Q18+(1.07)*(1.1)*($AA$2*tc-$AV$3)</f>
        <v>42.002510236841246</v>
      </c>
      <c r="AM18" s="17">
        <f>R18+(1.07)*(1.1)*($AB$2*tc-$AW$3)</f>
        <v>13.663649426390155</v>
      </c>
      <c r="AN18" s="17">
        <f>S18+(1.07)*(1.1)*($AC$2*tc-$AX$3)</f>
        <v>16.50553564980196</v>
      </c>
      <c r="AO18" s="17">
        <f>T18+(1.07)*(1.1)*($AD$2*tc-$AY$3)</f>
        <v>39.637009577694315</v>
      </c>
      <c r="AQ18" s="17">
        <f t="shared" si="10"/>
        <v>325278.5787143081</v>
      </c>
      <c r="AR18" s="17">
        <f t="shared" si="11"/>
        <v>6086107.3959083948</v>
      </c>
      <c r="AS18" s="17">
        <f t="shared" si="12"/>
        <v>2665966.4804452853</v>
      </c>
      <c r="AT18" s="17">
        <f t="shared" si="13"/>
        <v>843953.06737041275</v>
      </c>
      <c r="AU18" s="17">
        <f t="shared" si="14"/>
        <v>93485.469078006266</v>
      </c>
      <c r="AV18" s="17">
        <f t="shared" si="15"/>
        <v>20137658.2803929</v>
      </c>
      <c r="AW18" s="17">
        <f t="shared" si="16"/>
        <v>2299707.314852688</v>
      </c>
      <c r="AX18" s="17">
        <f t="shared" si="17"/>
        <v>2341398.1017427729</v>
      </c>
      <c r="AY18" s="17">
        <f t="shared" si="18"/>
        <v>392.5161204323993</v>
      </c>
      <c r="BA18">
        <f t="shared" si="19"/>
        <v>191596.33006946123</v>
      </c>
      <c r="BB18">
        <f t="shared" si="20"/>
        <v>3226367.5691965427</v>
      </c>
      <c r="BC18">
        <f t="shared" si="21"/>
        <v>1413282.2892439116</v>
      </c>
      <c r="BD18">
        <f t="shared" si="22"/>
        <v>397685.72796441132</v>
      </c>
      <c r="BE18">
        <f t="shared" si="23"/>
        <v>8259.7536214795127</v>
      </c>
      <c r="BF18">
        <f t="shared" si="24"/>
        <v>14666803.464409044</v>
      </c>
      <c r="BG18">
        <f t="shared" si="25"/>
        <v>1047688.4240576726</v>
      </c>
      <c r="BH18">
        <f t="shared" si="26"/>
        <v>1351848.058239249</v>
      </c>
      <c r="BI18">
        <f t="shared" si="27"/>
        <v>326.08493766336176</v>
      </c>
      <c r="BJ18">
        <f t="shared" si="28"/>
        <v>22303857.701739434</v>
      </c>
      <c r="BK18" s="44">
        <f t="shared" si="29"/>
        <v>0.94975075103334905</v>
      </c>
    </row>
    <row r="19" spans="1:63" x14ac:dyDescent="0.25">
      <c r="A19" s="30">
        <v>2023</v>
      </c>
      <c r="B19" s="16">
        <v>308444.74140202557</v>
      </c>
      <c r="C19" s="16">
        <v>5980674.7082542013</v>
      </c>
      <c r="D19" s="16">
        <v>2645110.0525542237</v>
      </c>
      <c r="E19" s="16">
        <v>854237.74180026795</v>
      </c>
      <c r="F19" s="16">
        <v>99761.876403355855</v>
      </c>
      <c r="G19" s="16">
        <v>20588414.794716626</v>
      </c>
      <c r="H19" s="16">
        <v>3011615.8822110402</v>
      </c>
      <c r="I19" s="16">
        <v>4122521.526572844</v>
      </c>
      <c r="J19" s="31">
        <v>419.95594790960899</v>
      </c>
      <c r="K19" s="36"/>
      <c r="L19" s="71">
        <f>L18*(1+$L$2)</f>
        <v>53.732716643963201</v>
      </c>
      <c r="M19" s="71">
        <f>M18*(1+$M$2)</f>
        <v>37.373021956056682</v>
      </c>
      <c r="N19" s="71">
        <f>N18*(1+$N$2)</f>
        <v>41.451540596319226</v>
      </c>
      <c r="O19" s="71">
        <f>O18*(1+$O$2)</f>
        <v>35.434381477498704</v>
      </c>
      <c r="P19" s="71">
        <f>P18*(1+$P$2)</f>
        <v>23.749778470695063</v>
      </c>
      <c r="Q19" s="71">
        <f>Q18*(1+$Q$2)</f>
        <v>41.353042457458692</v>
      </c>
      <c r="R19" s="71">
        <f>R18*(1+$R$2)</f>
        <v>11.509320298644448</v>
      </c>
      <c r="S19" s="71">
        <f>S18*(1+$S$2)</f>
        <v>10.520789720846766</v>
      </c>
      <c r="T19" s="71">
        <f>T18*(1+$T$2)</f>
        <v>33.078862000000001</v>
      </c>
      <c r="V19" s="44">
        <f t="shared" si="39"/>
        <v>181680.82483463149</v>
      </c>
      <c r="W19" s="44">
        <f t="shared" si="40"/>
        <v>3170475.5873348019</v>
      </c>
      <c r="X19" s="44">
        <f t="shared" si="41"/>
        <v>1402225.8786057679</v>
      </c>
      <c r="Y19" s="44">
        <f t="shared" si="42"/>
        <v>402532.04986979609</v>
      </c>
      <c r="Z19" s="44">
        <f t="shared" si="43"/>
        <v>8814.2951844274303</v>
      </c>
      <c r="AA19" s="44">
        <f t="shared" si="44"/>
        <v>14995101.676337942</v>
      </c>
      <c r="AB19" s="44">
        <f t="shared" si="45"/>
        <v>1372015.9418212124</v>
      </c>
      <c r="AC19" s="44">
        <f t="shared" si="46"/>
        <v>2380211.5140517266</v>
      </c>
      <c r="AD19" s="44">
        <f t="shared" si="47"/>
        <v>348.88072608229965</v>
      </c>
      <c r="AE19" s="44">
        <f t="shared" si="9"/>
        <v>23913406.648766395</v>
      </c>
      <c r="AG19" s="17">
        <f>L19+(1.07)*(1.1)*($V$2*tc-$AQ$3)</f>
        <v>51.645678565094208</v>
      </c>
      <c r="AH19" s="17">
        <f>M19+(1.07)*(1.1)*($W$2*tc-$AR$3)</f>
        <v>35.494687685074588</v>
      </c>
      <c r="AI19" s="17">
        <f>N19+(1.07)*(1.1)*($X$2*tc-$AS$3)</f>
        <v>39.573206325337132</v>
      </c>
      <c r="AJ19" s="17">
        <f>O19+(1.07)*(1.1)*($Y$2*tc-$AT$3)</f>
        <v>33.764751014403508</v>
      </c>
      <c r="AK19" s="17">
        <f>P19+(1.07)*(1.1)*($Z$2*tc-$AU$3)</f>
        <v>23.436722758864715</v>
      </c>
      <c r="AL19" s="17">
        <f>Q19+(1.07)*(1.1)*($AA$2*tc-$AV$3)</f>
        <v>42.710084974325611</v>
      </c>
      <c r="AM19" s="17">
        <f>R19+(1.07)*(1.1)*($AB$2*tc-$AW$3)</f>
        <v>13.713417176722206</v>
      </c>
      <c r="AN19" s="17">
        <f>S19+(1.07)*(1.1)*($AC$2*tc-$AX$3)</f>
        <v>16.551028869430645</v>
      </c>
      <c r="AO19" s="17">
        <f>T19+(1.07)*(1.1)*($AD$2*tc-$AY$3)</f>
        <v>40.600471577694314</v>
      </c>
      <c r="AQ19" s="17">
        <f t="shared" si="10"/>
        <v>322830.78775421332</v>
      </c>
      <c r="AR19" s="17">
        <f t="shared" si="11"/>
        <v>6147046.3086048868</v>
      </c>
      <c r="AS19" s="17">
        <f t="shared" si="12"/>
        <v>2790089.8940077713</v>
      </c>
      <c r="AT19" s="17">
        <f t="shared" si="13"/>
        <v>903023.24325449485</v>
      </c>
      <c r="AU19" s="17">
        <f t="shared" si="14"/>
        <v>101296.79985729427</v>
      </c>
      <c r="AV19" s="17">
        <f t="shared" si="15"/>
        <v>20140249.868232209</v>
      </c>
      <c r="AW19" s="17">
        <f t="shared" si="16"/>
        <v>2504954.5010115411</v>
      </c>
      <c r="AX19" s="17">
        <f t="shared" si="17"/>
        <v>2560304.5845353766</v>
      </c>
      <c r="AY19" s="17">
        <f t="shared" si="18"/>
        <v>397.12739902979001</v>
      </c>
      <c r="BA19">
        <f t="shared" si="19"/>
        <v>190154.52665718281</v>
      </c>
      <c r="BB19">
        <f t="shared" si="20"/>
        <v>3258672.5087640309</v>
      </c>
      <c r="BC19">
        <f t="shared" si="21"/>
        <v>1479082.5996960741</v>
      </c>
      <c r="BD19">
        <f t="shared" si="22"/>
        <v>425520.64770780574</v>
      </c>
      <c r="BE19">
        <f t="shared" si="23"/>
        <v>8949.9108012970719</v>
      </c>
      <c r="BF19">
        <f t="shared" si="24"/>
        <v>14668690.988219939</v>
      </c>
      <c r="BG19">
        <f t="shared" si="25"/>
        <v>1141193.8452128926</v>
      </c>
      <c r="BH19">
        <f t="shared" si="26"/>
        <v>1478237.6301274709</v>
      </c>
      <c r="BI19">
        <f t="shared" si="27"/>
        <v>329.91578285851472</v>
      </c>
      <c r="BJ19">
        <f t="shared" si="28"/>
        <v>22650832.572969548</v>
      </c>
      <c r="BK19" s="44">
        <f t="shared" si="29"/>
        <v>0.94720224958571608</v>
      </c>
    </row>
    <row r="20" spans="1:63" x14ac:dyDescent="0.25">
      <c r="A20" s="30">
        <v>2024</v>
      </c>
      <c r="B20" s="16">
        <v>305688.54468558449</v>
      </c>
      <c r="C20" s="16">
        <v>6042345.5457423897</v>
      </c>
      <c r="D20" s="16">
        <v>2769791.6025267644</v>
      </c>
      <c r="E20" s="16">
        <v>914567.20849491097</v>
      </c>
      <c r="F20" s="16">
        <v>108106.13118633519</v>
      </c>
      <c r="G20" s="16">
        <v>20583304.96475153</v>
      </c>
      <c r="H20" s="16">
        <v>3278009.4652755456</v>
      </c>
      <c r="I20" s="16">
        <v>4500436.1067758994</v>
      </c>
      <c r="J20" s="31">
        <v>423.94439659678807</v>
      </c>
      <c r="K20" s="36"/>
      <c r="L20" s="71">
        <f t="shared" ref="L20:L26" si="48">L19*(1+$L$2)</f>
        <v>54.494994545513713</v>
      </c>
      <c r="M20" s="71">
        <f t="shared" ref="M20:M26" si="49">M19*(1+$M$2)</f>
        <v>37.765634121872466</v>
      </c>
      <c r="N20" s="71">
        <f t="shared" ref="N20:N26" si="50">N19*(1+$N$2)</f>
        <v>42.039591887140162</v>
      </c>
      <c r="O20" s="71">
        <f t="shared" ref="O20:O26" si="51">O19*(1+$O$2)</f>
        <v>35.93707048416821</v>
      </c>
      <c r="P20" s="71">
        <f t="shared" ref="P20:P26" si="52">P19*(1+$P$2)</f>
        <v>24.086704135832914</v>
      </c>
      <c r="Q20" s="71">
        <f t="shared" ref="Q20:Q26" si="53">Q19*(1+$Q$2)</f>
        <v>42.072934976905252</v>
      </c>
      <c r="R20" s="71">
        <f t="shared" ref="R20:R26" si="54">R19*(1+$R$2)</f>
        <v>11.559304185598123</v>
      </c>
      <c r="S20" s="71">
        <f t="shared" ref="S20:S26" si="55">S19*(1+$S$2)</f>
        <v>10.566480513215463</v>
      </c>
      <c r="T20" s="71">
        <f t="shared" ref="T20:T26" si="56">T19*(1+$T$2)</f>
        <v>34.07122786</v>
      </c>
      <c r="V20" s="44">
        <f t="shared" si="39"/>
        <v>180057.36356058487</v>
      </c>
      <c r="W20" s="44">
        <f t="shared" si="40"/>
        <v>3203168.5349109243</v>
      </c>
      <c r="X20" s="44">
        <f t="shared" si="41"/>
        <v>1468322.0683606516</v>
      </c>
      <c r="Y20" s="44">
        <f t="shared" si="42"/>
        <v>430960.36988872627</v>
      </c>
      <c r="Z20" s="44">
        <f t="shared" si="43"/>
        <v>9551.5379810031391</v>
      </c>
      <c r="AA20" s="44">
        <f t="shared" si="44"/>
        <v>14991380.048391381</v>
      </c>
      <c r="AB20" s="44">
        <f t="shared" si="45"/>
        <v>1493378.1131798779</v>
      </c>
      <c r="AC20" s="44">
        <f t="shared" si="46"/>
        <v>2598407.2540446543</v>
      </c>
      <c r="AD20" s="44">
        <f t="shared" si="47"/>
        <v>352.1941518852949</v>
      </c>
      <c r="AE20" s="44">
        <f t="shared" si="9"/>
        <v>24375577.484469693</v>
      </c>
      <c r="AG20" s="17">
        <f>L20+(1.07)*(1.1)*($V$2*tc-$AQ$3)</f>
        <v>52.40795646664472</v>
      </c>
      <c r="AH20" s="17">
        <f>M20+(1.07)*(1.1)*($W$2*tc-$AR$3)</f>
        <v>35.887299850890372</v>
      </c>
      <c r="AI20" s="17">
        <f>N20+(1.07)*(1.1)*($X$2*tc-$AS$3)</f>
        <v>40.161257616158068</v>
      </c>
      <c r="AJ20" s="17">
        <f>O20+(1.07)*(1.1)*($Y$2*tc-$AT$3)</f>
        <v>34.267440021073014</v>
      </c>
      <c r="AK20" s="17">
        <f>P20+(1.07)*(1.1)*($Z$2*tc-$AU$3)</f>
        <v>23.773648424002566</v>
      </c>
      <c r="AL20" s="17">
        <f>Q20+(1.07)*(1.1)*($AA$2*tc-$AV$3)</f>
        <v>43.429977493772171</v>
      </c>
      <c r="AM20" s="17">
        <f>R20+(1.07)*(1.1)*($AB$2*tc-$AW$3)</f>
        <v>13.763401063675881</v>
      </c>
      <c r="AN20" s="17">
        <f>S20+(1.07)*(1.1)*($AC$2*tc-$AX$3)</f>
        <v>16.596719661799344</v>
      </c>
      <c r="AO20" s="17">
        <f>T20+(1.07)*(1.1)*($AD$2*tc-$AY$3)</f>
        <v>41.592837437694314</v>
      </c>
      <c r="AQ20" s="17">
        <f t="shared" si="10"/>
        <v>319738.05728519207</v>
      </c>
      <c r="AR20" s="17">
        <f t="shared" si="11"/>
        <v>6208615.4930267939</v>
      </c>
      <c r="AS20" s="17">
        <f t="shared" si="12"/>
        <v>2919374.804726053</v>
      </c>
      <c r="AT20" s="17">
        <f t="shared" si="13"/>
        <v>966029.19163104112</v>
      </c>
      <c r="AU20" s="17">
        <f t="shared" si="14"/>
        <v>109745.84230933368</v>
      </c>
      <c r="AV20" s="17">
        <f t="shared" si="15"/>
        <v>20142715.980487254</v>
      </c>
      <c r="AW20" s="17">
        <f t="shared" si="16"/>
        <v>2728524.7303121723</v>
      </c>
      <c r="AX20" s="17">
        <f t="shared" si="17"/>
        <v>2799646.4079453833</v>
      </c>
      <c r="AY20" s="17">
        <f t="shared" si="18"/>
        <v>401.49119664270694</v>
      </c>
      <c r="BA20">
        <f t="shared" si="19"/>
        <v>188332.83950489445</v>
      </c>
      <c r="BB20">
        <f t="shared" si="20"/>
        <v>3291311.5680113696</v>
      </c>
      <c r="BC20">
        <f t="shared" si="21"/>
        <v>1547619.1232888652</v>
      </c>
      <c r="BD20">
        <f t="shared" si="22"/>
        <v>455210.17360085819</v>
      </c>
      <c r="BE20">
        <f t="shared" si="23"/>
        <v>9696.4119386346283</v>
      </c>
      <c r="BF20">
        <f t="shared" si="24"/>
        <v>14670487.124754896</v>
      </c>
      <c r="BG20">
        <f t="shared" si="25"/>
        <v>1243046.7808840543</v>
      </c>
      <c r="BH20">
        <f t="shared" si="26"/>
        <v>1616425.9113050411</v>
      </c>
      <c r="BI20">
        <f t="shared" si="27"/>
        <v>333.54103185724625</v>
      </c>
      <c r="BJ20">
        <f t="shared" si="28"/>
        <v>23022463.474320468</v>
      </c>
      <c r="BK20" s="44">
        <f t="shared" si="29"/>
        <v>0.94448894550246743</v>
      </c>
    </row>
    <row r="21" spans="1:63" x14ac:dyDescent="0.25">
      <c r="A21" s="29">
        <v>2025</v>
      </c>
      <c r="B21" s="16">
        <v>302270.40816630208</v>
      </c>
      <c r="C21" s="16">
        <v>6104652.313519733</v>
      </c>
      <c r="D21" s="16">
        <v>2899702.7690156107</v>
      </c>
      <c r="E21" s="16">
        <v>978944.53899786284</v>
      </c>
      <c r="F21" s="16">
        <v>117131.71081589261</v>
      </c>
      <c r="G21" s="16">
        <v>20578196.402992867</v>
      </c>
      <c r="H21" s="16">
        <v>3567982.8581478279</v>
      </c>
      <c r="I21" s="16">
        <v>4912962.5295797549</v>
      </c>
      <c r="J21" s="31">
        <v>427.75089649325491</v>
      </c>
      <c r="K21" s="36"/>
      <c r="L21" s="71">
        <f t="shared" si="48"/>
        <v>55.268086484311631</v>
      </c>
      <c r="M21" s="71">
        <f t="shared" si="49"/>
        <v>38.162370768521718</v>
      </c>
      <c r="N21" s="71">
        <f t="shared" si="50"/>
        <v>42.635985553555862</v>
      </c>
      <c r="O21" s="71">
        <f t="shared" si="51"/>
        <v>36.446890876426792</v>
      </c>
      <c r="P21" s="71">
        <f t="shared" si="52"/>
        <v>24.428409588873571</v>
      </c>
      <c r="Q21" s="71">
        <f t="shared" si="53"/>
        <v>42.805359711849334</v>
      </c>
      <c r="R21" s="71">
        <f t="shared" si="54"/>
        <v>11.609505147834279</v>
      </c>
      <c r="S21" s="71">
        <f t="shared" si="55"/>
        <v>10.612369736363851</v>
      </c>
      <c r="T21" s="71">
        <f t="shared" si="56"/>
        <v>35.093364695799998</v>
      </c>
      <c r="V21" s="44">
        <f t="shared" si="39"/>
        <v>178044.00499464586</v>
      </c>
      <c r="W21" s="44">
        <f t="shared" si="40"/>
        <v>3236198.6018850012</v>
      </c>
      <c r="X21" s="44">
        <f t="shared" si="41"/>
        <v>1537190.5826950995</v>
      </c>
      <c r="Y21" s="44">
        <f t="shared" si="42"/>
        <v>461296.11548325606</v>
      </c>
      <c r="Z21" s="44">
        <f t="shared" si="43"/>
        <v>10348.97810476166</v>
      </c>
      <c r="AA21" s="44">
        <f t="shared" si="44"/>
        <v>14987659.344114009</v>
      </c>
      <c r="AB21" s="44">
        <f t="shared" si="45"/>
        <v>1625482.648846182</v>
      </c>
      <c r="AC21" s="44">
        <f t="shared" si="46"/>
        <v>2836586.7602229002</v>
      </c>
      <c r="AD21" s="44">
        <f t="shared" si="47"/>
        <v>355.35642272422916</v>
      </c>
      <c r="AE21" s="44">
        <f t="shared" si="9"/>
        <v>24873162.392768584</v>
      </c>
      <c r="AG21" s="17">
        <f>L21+(1.07)*(1.1)*($V$2*tc-$AQ$3)</f>
        <v>53.181048405442638</v>
      </c>
      <c r="AH21" s="17">
        <f>M21+(1.07)*(1.1)*($W$2*tc-$AR$3)</f>
        <v>36.284036497539624</v>
      </c>
      <c r="AI21" s="17">
        <f>N21+(1.07)*(1.1)*($X$2*tc-$AS$3)</f>
        <v>40.757651282573768</v>
      </c>
      <c r="AJ21" s="17">
        <f>O21+(1.07)*(1.1)*($Y$2*tc-$AT$3)</f>
        <v>34.777260413331597</v>
      </c>
      <c r="AK21" s="17">
        <f>P21+(1.07)*(1.1)*($Z$2*tc-$AU$3)</f>
        <v>24.115353877043223</v>
      </c>
      <c r="AL21" s="17">
        <f>Q21+(1.07)*(1.1)*($AA$2*tc-$AV$3)</f>
        <v>44.162402228716253</v>
      </c>
      <c r="AM21" s="17">
        <f>R21+(1.07)*(1.1)*($AB$2*tc-$AW$3)</f>
        <v>13.813602025912036</v>
      </c>
      <c r="AN21" s="17">
        <f>S21+(1.07)*(1.1)*($AC$2*tc-$AX$3)</f>
        <v>16.64260888494773</v>
      </c>
      <c r="AO21" s="17">
        <f>T21+(1.07)*(1.1)*($AD$2*tc-$AY$3)</f>
        <v>42.614974273494312</v>
      </c>
      <c r="AQ21" s="17">
        <f t="shared" si="10"/>
        <v>315960.28624110413</v>
      </c>
      <c r="AR21" s="17">
        <f t="shared" si="11"/>
        <v>6270821.4295492144</v>
      </c>
      <c r="AS21" s="17">
        <f t="shared" si="12"/>
        <v>3054002.6603047964</v>
      </c>
      <c r="AT21" s="17">
        <f t="shared" si="13"/>
        <v>1033218.6353658406</v>
      </c>
      <c r="AU21" s="17">
        <f t="shared" si="14"/>
        <v>118883.12009076403</v>
      </c>
      <c r="AV21" s="17">
        <f t="shared" si="15"/>
        <v>20145058.589308519</v>
      </c>
      <c r="AW21" s="17">
        <f t="shared" si="16"/>
        <v>2972054.1999916676</v>
      </c>
      <c r="AX21" s="17">
        <f t="shared" si="17"/>
        <v>3061328.4940018882</v>
      </c>
      <c r="AY21" s="17">
        <f t="shared" si="18"/>
        <v>405.6801279864759</v>
      </c>
      <c r="BA21">
        <f t="shared" si="19"/>
        <v>186107.64819118779</v>
      </c>
      <c r="BB21">
        <f t="shared" si="20"/>
        <v>3324288.182315344</v>
      </c>
      <c r="BC21">
        <f t="shared" si="21"/>
        <v>1618988.049088917</v>
      </c>
      <c r="BD21">
        <f t="shared" si="22"/>
        <v>486871.03707334085</v>
      </c>
      <c r="BE21">
        <f t="shared" si="23"/>
        <v>10503.720967406345</v>
      </c>
      <c r="BF21">
        <f t="shared" si="24"/>
        <v>14672193.31038468</v>
      </c>
      <c r="BG21">
        <f t="shared" si="25"/>
        <v>1353992.64110386</v>
      </c>
      <c r="BH21">
        <f t="shared" si="26"/>
        <v>1767512.7425654628</v>
      </c>
      <c r="BI21">
        <f t="shared" si="27"/>
        <v>337.02100973587267</v>
      </c>
      <c r="BJ21">
        <f t="shared" si="28"/>
        <v>23420794.352699935</v>
      </c>
      <c r="BK21" s="44">
        <f t="shared" si="29"/>
        <v>0.94160903156846276</v>
      </c>
    </row>
    <row r="22" spans="1:63" x14ac:dyDescent="0.25">
      <c r="A22" s="29">
        <v>2026</v>
      </c>
      <c r="B22" s="16">
        <v>298149.29416949832</v>
      </c>
      <c r="C22" s="16">
        <v>6167601.5690994486</v>
      </c>
      <c r="D22" s="16">
        <v>3035028.1129722828</v>
      </c>
      <c r="E22" s="16">
        <v>1047625.7427573893</v>
      </c>
      <c r="F22" s="16">
        <v>126892.55646650675</v>
      </c>
      <c r="G22" s="16">
        <v>20573089.109126095</v>
      </c>
      <c r="H22" s="16">
        <v>3883624.6083352836</v>
      </c>
      <c r="I22" s="16">
        <v>5363268.0839140248</v>
      </c>
      <c r="J22" s="31">
        <v>431.29415047708585</v>
      </c>
      <c r="K22" s="36"/>
      <c r="L22" s="71">
        <f t="shared" si="48"/>
        <v>56.052145873438135</v>
      </c>
      <c r="M22" s="71">
        <f t="shared" si="49"/>
        <v>38.563275224621393</v>
      </c>
      <c r="N22" s="71">
        <f t="shared" si="50"/>
        <v>43.240839944478488</v>
      </c>
      <c r="O22" s="71">
        <f t="shared" si="51"/>
        <v>36.963943823505815</v>
      </c>
      <c r="P22" s="71">
        <f t="shared" si="52"/>
        <v>24.774962638163981</v>
      </c>
      <c r="Q22" s="71">
        <f t="shared" si="53"/>
        <v>43.550534828782517</v>
      </c>
      <c r="R22" s="71">
        <f t="shared" si="54"/>
        <v>11.659924128090289</v>
      </c>
      <c r="S22" s="71">
        <f t="shared" si="55"/>
        <v>10.658458252057995</v>
      </c>
      <c r="T22" s="71">
        <f t="shared" si="56"/>
        <v>36.146165636673999</v>
      </c>
      <c r="V22" s="44">
        <f t="shared" si="39"/>
        <v>175616.57703210862</v>
      </c>
      <c r="W22" s="44">
        <f t="shared" si="40"/>
        <v>3269569.2645262815</v>
      </c>
      <c r="X22" s="44">
        <f t="shared" si="41"/>
        <v>1608929.2610703285</v>
      </c>
      <c r="Y22" s="44">
        <f t="shared" si="42"/>
        <v>493659.92286852078</v>
      </c>
      <c r="Z22" s="44">
        <f t="shared" si="43"/>
        <v>11211.381438739583</v>
      </c>
      <c r="AA22" s="44">
        <f t="shared" si="44"/>
        <v>14983939.563276738</v>
      </c>
      <c r="AB22" s="44">
        <f t="shared" si="45"/>
        <v>1769281.0381824721</v>
      </c>
      <c r="AC22" s="44">
        <f t="shared" si="46"/>
        <v>3096578.7234811024</v>
      </c>
      <c r="AD22" s="44">
        <f t="shared" si="47"/>
        <v>358.30000056549125</v>
      </c>
      <c r="AE22" s="44">
        <f t="shared" si="9"/>
        <v>25409144.031876858</v>
      </c>
      <c r="AG22" s="17">
        <f>L22+(1.07)*(1.1)*($V$2*tc-$AQ$3)</f>
        <v>53.965107794569143</v>
      </c>
      <c r="AH22" s="17">
        <f>M22+(1.07)*(1.1)*($W$2*tc-$AR$3)</f>
        <v>36.684940953639298</v>
      </c>
      <c r="AI22" s="17">
        <f>N22+(1.07)*(1.1)*($X$2*tc-$AS$3)</f>
        <v>41.362505673496393</v>
      </c>
      <c r="AJ22" s="17">
        <f>O22+(1.07)*(1.1)*($Y$2*tc-$AT$3)</f>
        <v>35.294313360410619</v>
      </c>
      <c r="AK22" s="17">
        <f>P22+(1.07)*(1.1)*($Z$2*tc-$AU$3)</f>
        <v>24.461906926333633</v>
      </c>
      <c r="AL22" s="17">
        <f>Q22+(1.07)*(1.1)*($AA$2*tc-$AV$3)</f>
        <v>44.907577345649436</v>
      </c>
      <c r="AM22" s="17">
        <f>R22+(1.07)*(1.1)*($AB$2*tc-$AW$3)</f>
        <v>13.864021006168047</v>
      </c>
      <c r="AN22" s="17">
        <f>S22+(1.07)*(1.1)*($AC$2*tc-$AX$3)</f>
        <v>16.688697400641875</v>
      </c>
      <c r="AO22" s="17">
        <f>T22+(1.07)*(1.1)*($AD$2*tc-$AY$3)</f>
        <v>43.667775214368312</v>
      </c>
      <c r="AQ22" s="17">
        <f t="shared" si="10"/>
        <v>311455.77995162434</v>
      </c>
      <c r="AR22" s="17">
        <f t="shared" si="11"/>
        <v>6333670.6656177193</v>
      </c>
      <c r="AS22" s="17">
        <f t="shared" si="12"/>
        <v>3194159.4595368542</v>
      </c>
      <c r="AT22" s="17">
        <f t="shared" si="13"/>
        <v>1104853.7956461683</v>
      </c>
      <c r="AU22" s="17">
        <f t="shared" si="14"/>
        <v>128763.00889241096</v>
      </c>
      <c r="AV22" s="17">
        <f t="shared" si="15"/>
        <v>20147279.639900174</v>
      </c>
      <c r="AW22" s="17">
        <f t="shared" si="16"/>
        <v>3237325.2553173047</v>
      </c>
      <c r="AX22" s="17">
        <f t="shared" si="17"/>
        <v>3347433.0915130135</v>
      </c>
      <c r="AY22" s="17">
        <f t="shared" si="18"/>
        <v>409.61608905968899</v>
      </c>
      <c r="BA22">
        <f t="shared" si="19"/>
        <v>183454.39362628406</v>
      </c>
      <c r="BB22">
        <f t="shared" si="20"/>
        <v>3357605.8226081398</v>
      </c>
      <c r="BC22">
        <f t="shared" si="21"/>
        <v>1693287.9787859691</v>
      </c>
      <c r="BD22">
        <f t="shared" si="22"/>
        <v>520626.80142252811</v>
      </c>
      <c r="BE22">
        <f t="shared" si="23"/>
        <v>11376.642161620226</v>
      </c>
      <c r="BF22">
        <f t="shared" si="24"/>
        <v>14673810.961854316</v>
      </c>
      <c r="BG22">
        <f t="shared" si="25"/>
        <v>1474843.4172470993</v>
      </c>
      <c r="BH22">
        <f t="shared" si="26"/>
        <v>1932700.3474887144</v>
      </c>
      <c r="BI22">
        <f t="shared" si="27"/>
        <v>340.29083116330918</v>
      </c>
      <c r="BJ22">
        <f t="shared" si="28"/>
        <v>23848046.656025834</v>
      </c>
      <c r="BK22" s="44">
        <f t="shared" si="29"/>
        <v>0.93856159129593031</v>
      </c>
    </row>
    <row r="23" spans="1:63" x14ac:dyDescent="0.25">
      <c r="A23" s="29">
        <v>2027</v>
      </c>
      <c r="B23" s="16">
        <v>293282.54186820827</v>
      </c>
      <c r="C23" s="16">
        <v>6231199.9376137806</v>
      </c>
      <c r="D23" s="16">
        <v>3175956.8081762525</v>
      </c>
      <c r="E23" s="16">
        <v>1120881.8525110318</v>
      </c>
      <c r="F23" s="16">
        <v>137446.71547815687</v>
      </c>
      <c r="G23" s="16">
        <v>20567983.082836319</v>
      </c>
      <c r="H23" s="16">
        <v>4227208.3737893561</v>
      </c>
      <c r="I23" s="16">
        <v>5854809.6669631163</v>
      </c>
      <c r="J23" s="31">
        <v>434.54992078335397</v>
      </c>
      <c r="K23" s="36"/>
      <c r="L23" s="71">
        <f t="shared" si="48"/>
        <v>56.847328302365412</v>
      </c>
      <c r="M23" s="71">
        <f t="shared" si="49"/>
        <v>38.968391273965509</v>
      </c>
      <c r="N23" s="71">
        <f t="shared" si="50"/>
        <v>43.854275087774219</v>
      </c>
      <c r="O23" s="71">
        <f t="shared" si="51"/>
        <v>37.488331929871521</v>
      </c>
      <c r="P23" s="71">
        <f t="shared" si="52"/>
        <v>25.126432054012579</v>
      </c>
      <c r="Q23" s="71">
        <f t="shared" si="53"/>
        <v>44.308682292137604</v>
      </c>
      <c r="R23" s="71">
        <f t="shared" si="54"/>
        <v>11.710562073197746</v>
      </c>
      <c r="S23" s="71">
        <f t="shared" si="55"/>
        <v>10.704746925806528</v>
      </c>
      <c r="T23" s="71">
        <f t="shared" si="56"/>
        <v>37.230550605774219</v>
      </c>
      <c r="V23" s="44">
        <f t="shared" si="39"/>
        <v>172749.9514954075</v>
      </c>
      <c r="W23" s="44">
        <f t="shared" si="40"/>
        <v>3303284.034950214</v>
      </c>
      <c r="X23" s="44">
        <f t="shared" si="41"/>
        <v>1683638.388300149</v>
      </c>
      <c r="Y23" s="44">
        <f t="shared" si="42"/>
        <v>528179.50750133733</v>
      </c>
      <c r="Z23" s="44">
        <f t="shared" si="43"/>
        <v>12143.876659418287</v>
      </c>
      <c r="AA23" s="44">
        <f t="shared" si="44"/>
        <v>14980220.70565022</v>
      </c>
      <c r="AB23" s="44">
        <f t="shared" si="45"/>
        <v>1925809.1021824062</v>
      </c>
      <c r="AC23" s="44">
        <f t="shared" si="46"/>
        <v>3380379.0452180002</v>
      </c>
      <c r="AD23" s="44">
        <f t="shared" si="47"/>
        <v>361.00474975183329</v>
      </c>
      <c r="AE23" s="44">
        <f t="shared" si="9"/>
        <v>25986765.616706908</v>
      </c>
      <c r="AG23" s="17">
        <f>L23+(1.07)*(1.1)*($V$2*tc-$AQ$3)</f>
        <v>54.760290223496419</v>
      </c>
      <c r="AH23" s="17">
        <f>M23+(1.07)*(1.1)*($W$2*tc-$AR$3)</f>
        <v>37.090057002983414</v>
      </c>
      <c r="AI23" s="17">
        <f>N23+(1.07)*(1.1)*($X$2*tc-$AS$3)</f>
        <v>41.975940816792125</v>
      </c>
      <c r="AJ23" s="17">
        <f>O23+(1.07)*(1.1)*($Y$2*tc-$AT$3)</f>
        <v>35.818701466776325</v>
      </c>
      <c r="AK23" s="17">
        <f>P23+(1.07)*(1.1)*($Z$2*tc-$AU$3)</f>
        <v>24.813376342182231</v>
      </c>
      <c r="AL23" s="17">
        <f>Q23+(1.07)*(1.1)*($AA$2*tc-$AV$3)</f>
        <v>45.665724809004523</v>
      </c>
      <c r="AM23" s="17">
        <f>R23+(1.07)*(1.1)*($AB$2*tc-$AW$3)</f>
        <v>13.914658951275504</v>
      </c>
      <c r="AN23" s="17">
        <f>S23+(1.07)*(1.1)*($AC$2*tc-$AX$3)</f>
        <v>16.73498607439041</v>
      </c>
      <c r="AO23" s="17">
        <f>T23+(1.07)*(1.1)*($AD$2*tc-$AY$3)</f>
        <v>44.752160183468533</v>
      </c>
      <c r="AQ23" s="17">
        <f t="shared" si="10"/>
        <v>306181.21897245344</v>
      </c>
      <c r="AR23" s="17">
        <f t="shared" si="11"/>
        <v>6397169.8164362703</v>
      </c>
      <c r="AS23" s="17">
        <f t="shared" si="12"/>
        <v>3340035.7699155803</v>
      </c>
      <c r="AT23" s="17">
        <f t="shared" si="13"/>
        <v>1181212.1605861969</v>
      </c>
      <c r="AU23" s="17">
        <f t="shared" si="14"/>
        <v>139444.01615174059</v>
      </c>
      <c r="AV23" s="17">
        <f t="shared" si="15"/>
        <v>20149381.050760943</v>
      </c>
      <c r="AW23" s="17">
        <f t="shared" si="16"/>
        <v>3526279.447411336</v>
      </c>
      <c r="AX23" s="17">
        <f t="shared" si="17"/>
        <v>3660236.2615179145</v>
      </c>
      <c r="AY23" s="17">
        <f t="shared" si="18"/>
        <v>413.27485993374972</v>
      </c>
      <c r="BA23">
        <f t="shared" si="19"/>
        <v>180347.55969233377</v>
      </c>
      <c r="BB23">
        <f t="shared" si="20"/>
        <v>3391267.9957420263</v>
      </c>
      <c r="BC23">
        <f t="shared" si="21"/>
        <v>1770619.9360295075</v>
      </c>
      <c r="BD23">
        <f t="shared" si="22"/>
        <v>556608.22399376624</v>
      </c>
      <c r="BE23">
        <f t="shared" si="23"/>
        <v>12320.34484890826</v>
      </c>
      <c r="BF23">
        <f t="shared" si="24"/>
        <v>14675341.476458533</v>
      </c>
      <c r="BG23">
        <f t="shared" si="25"/>
        <v>1606483.6308449963</v>
      </c>
      <c r="BH23">
        <f t="shared" si="26"/>
        <v>2113302.8506117235</v>
      </c>
      <c r="BI23">
        <f t="shared" si="27"/>
        <v>343.33037529993805</v>
      </c>
      <c r="BJ23">
        <f t="shared" si="28"/>
        <v>24306635.348597094</v>
      </c>
      <c r="BK23" s="44">
        <f t="shared" si="29"/>
        <v>0.93534669558763184</v>
      </c>
    </row>
    <row r="24" spans="1:63" x14ac:dyDescent="0.25">
      <c r="A24" s="29">
        <v>2028</v>
      </c>
      <c r="B24" s="16">
        <v>287625.83631875849</v>
      </c>
      <c r="C24" s="16">
        <v>6295454.112511253</v>
      </c>
      <c r="D24" s="16">
        <v>3322682.656845374</v>
      </c>
      <c r="E24" s="16">
        <v>1198999.721101989</v>
      </c>
      <c r="F24" s="16">
        <v>148856.63880035092</v>
      </c>
      <c r="G24" s="16">
        <v>20562878.323809162</v>
      </c>
      <c r="H24" s="16">
        <v>4601209.3399433596</v>
      </c>
      <c r="I24" s="16">
        <v>6391360.2460118979</v>
      </c>
      <c r="J24" s="31">
        <v>437.42289274348093</v>
      </c>
      <c r="K24" s="36"/>
      <c r="L24" s="71">
        <f t="shared" si="48"/>
        <v>57.653791567831973</v>
      </c>
      <c r="M24" s="71">
        <f t="shared" si="49"/>
        <v>39.377763160306877</v>
      </c>
      <c r="N24" s="71">
        <f t="shared" si="50"/>
        <v>44.476412714081697</v>
      </c>
      <c r="O24" s="71">
        <f t="shared" si="51"/>
        <v>38.020159255585973</v>
      </c>
      <c r="P24" s="71">
        <f t="shared" si="52"/>
        <v>25.482887582336144</v>
      </c>
      <c r="Q24" s="71">
        <f t="shared" si="53"/>
        <v>45.080027930404924</v>
      </c>
      <c r="R24" s="71">
        <f t="shared" si="54"/>
        <v>11.761419934100241</v>
      </c>
      <c r="S24" s="71">
        <f t="shared" si="55"/>
        <v>10.751236626876906</v>
      </c>
      <c r="T24" s="71">
        <f t="shared" si="56"/>
        <v>38.347467123947446</v>
      </c>
      <c r="V24" s="44">
        <f t="shared" si="39"/>
        <v>169418.02589538193</v>
      </c>
      <c r="W24" s="44">
        <f t="shared" si="40"/>
        <v>3337346.4614880793</v>
      </c>
      <c r="X24" s="44">
        <f t="shared" si="41"/>
        <v>1761420.7028263679</v>
      </c>
      <c r="Y24" s="44">
        <f t="shared" si="42"/>
        <v>564990.03955428617</v>
      </c>
      <c r="Z24" s="44">
        <f t="shared" si="43"/>
        <v>13151.981516897875</v>
      </c>
      <c r="AA24" s="44">
        <f t="shared" si="44"/>
        <v>14976502.771005487</v>
      </c>
      <c r="AB24" s="44">
        <f t="shared" si="45"/>
        <v>2096194.4726577073</v>
      </c>
      <c r="AC24" s="44">
        <f t="shared" si="46"/>
        <v>3690166.1155561674</v>
      </c>
      <c r="AD24" s="44">
        <f t="shared" si="47"/>
        <v>363.39148709524369</v>
      </c>
      <c r="AE24" s="44">
        <f t="shared" si="9"/>
        <v>26609553.961987469</v>
      </c>
      <c r="AG24" s="17">
        <f>L24+(1.07)*(1.1)*($V$2*tc-$AQ$3)</f>
        <v>55.566753488962981</v>
      </c>
      <c r="AH24" s="17">
        <f>M24+(1.07)*(1.1)*($W$2*tc-$AR$3)</f>
        <v>37.499428889324783</v>
      </c>
      <c r="AI24" s="17">
        <f>N24+(1.07)*(1.1)*($X$2*tc-$AS$3)</f>
        <v>42.598078443099602</v>
      </c>
      <c r="AJ24" s="17">
        <f>O24+(1.07)*(1.1)*($Y$2*tc-$AT$3)</f>
        <v>36.350528792490778</v>
      </c>
      <c r="AK24" s="17">
        <f>P24+(1.07)*(1.1)*($Z$2*tc-$AU$3)</f>
        <v>25.169831870505796</v>
      </c>
      <c r="AL24" s="17">
        <f>Q24+(1.07)*(1.1)*($AA$2*tc-$AV$3)</f>
        <v>46.437070447271843</v>
      </c>
      <c r="AM24" s="17">
        <f>R24+(1.07)*(1.1)*($AB$2*tc-$AW$3)</f>
        <v>13.965516812177999</v>
      </c>
      <c r="AN24" s="17">
        <f>S24+(1.07)*(1.1)*($AC$2*tc-$AX$3)</f>
        <v>16.781475775460788</v>
      </c>
      <c r="AO24" s="17">
        <f>T24+(1.07)*(1.1)*($AD$2*tc-$AY$3)</f>
        <v>45.86907670164176</v>
      </c>
      <c r="AQ24" s="17">
        <f t="shared" si="10"/>
        <v>300091.62895130878</v>
      </c>
      <c r="AR24" s="17">
        <f t="shared" si="11"/>
        <v>6461325.5656622071</v>
      </c>
      <c r="AS24" s="17">
        <f t="shared" si="12"/>
        <v>3491826.7400720757</v>
      </c>
      <c r="AT24" s="17">
        <f t="shared" si="13"/>
        <v>1262587.2892014445</v>
      </c>
      <c r="AU24" s="17">
        <f t="shared" si="14"/>
        <v>150989.07987041847</v>
      </c>
      <c r="AV24" s="17">
        <f t="shared" si="15"/>
        <v>20151364.713929109</v>
      </c>
      <c r="AW24" s="17">
        <f t="shared" si="16"/>
        <v>3841031.7580739385</v>
      </c>
      <c r="AX24" s="17">
        <f t="shared" si="17"/>
        <v>4002225.8934120494</v>
      </c>
      <c r="AY24" s="17">
        <f t="shared" si="18"/>
        <v>416.56446536241123</v>
      </c>
      <c r="BA24">
        <f t="shared" si="19"/>
        <v>176760.65549381392</v>
      </c>
      <c r="BB24">
        <f t="shared" si="20"/>
        <v>3425278.2448577788</v>
      </c>
      <c r="BC24">
        <f t="shared" si="21"/>
        <v>1851087.3730219994</v>
      </c>
      <c r="BD24">
        <f t="shared" si="22"/>
        <v>594953.63502756343</v>
      </c>
      <c r="BE24">
        <f t="shared" si="23"/>
        <v>13340.389812056399</v>
      </c>
      <c r="BF24">
        <f t="shared" si="24"/>
        <v>14676786.232220201</v>
      </c>
      <c r="BG24">
        <f t="shared" si="25"/>
        <v>1749876.814054372</v>
      </c>
      <c r="BH24">
        <f t="shared" si="26"/>
        <v>2310756.6793604209</v>
      </c>
      <c r="BI24">
        <f t="shared" si="27"/>
        <v>346.06323320131662</v>
      </c>
      <c r="BJ24">
        <f t="shared" si="28"/>
        <v>24799186.087081406</v>
      </c>
      <c r="BK24" s="44">
        <f t="shared" si="29"/>
        <v>0.93196549339037293</v>
      </c>
    </row>
    <row r="25" spans="1:63" x14ac:dyDescent="0.25">
      <c r="A25" s="29">
        <v>2029</v>
      </c>
      <c r="B25" s="16">
        <v>281133.17860148678</v>
      </c>
      <c r="C25" s="16">
        <v>6360370.8562611165</v>
      </c>
      <c r="D25" s="16">
        <v>3475404.0999132697</v>
      </c>
      <c r="E25" s="16">
        <v>1282282.8548982162</v>
      </c>
      <c r="F25" s="16">
        <v>161189.49868739684</v>
      </c>
      <c r="G25" s="16">
        <v>20557774.831729878</v>
      </c>
      <c r="H25" s="16">
        <v>5008322.0936537636</v>
      </c>
      <c r="I25" s="16">
        <v>6977037.736523251</v>
      </c>
      <c r="J25" s="31">
        <v>440.0904404751123</v>
      </c>
      <c r="K25" s="36"/>
      <c r="L25" s="71">
        <f t="shared" si="48"/>
        <v>58.471695705156009</v>
      </c>
      <c r="M25" s="71">
        <f t="shared" si="49"/>
        <v>39.791435592189082</v>
      </c>
      <c r="N25" s="71">
        <f t="shared" si="50"/>
        <v>45.107376280968346</v>
      </c>
      <c r="O25" s="71">
        <f t="shared" si="51"/>
        <v>38.559531336956823</v>
      </c>
      <c r="P25" s="71">
        <f t="shared" si="52"/>
        <v>25.844399958500233</v>
      </c>
      <c r="Q25" s="71">
        <f t="shared" si="53"/>
        <v>45.864801503399605</v>
      </c>
      <c r="R25" s="71">
        <f t="shared" si="54"/>
        <v>11.812498665871221</v>
      </c>
      <c r="S25" s="71">
        <f t="shared" si="55"/>
        <v>10.797928228311729</v>
      </c>
      <c r="T25" s="71">
        <f t="shared" si="56"/>
        <v>39.497891137665867</v>
      </c>
      <c r="V25" s="44">
        <f t="shared" si="39"/>
        <v>165593.70584349497</v>
      </c>
      <c r="W25" s="44">
        <f t="shared" si="40"/>
        <v>3371760.1290604277</v>
      </c>
      <c r="X25" s="44">
        <f t="shared" si="41"/>
        <v>1842381.4021670357</v>
      </c>
      <c r="Y25" s="44">
        <f t="shared" si="42"/>
        <v>604234.53663764521</v>
      </c>
      <c r="Z25" s="44">
        <f t="shared" si="43"/>
        <v>14241.630904336125</v>
      </c>
      <c r="AA25" s="44">
        <f t="shared" si="44"/>
        <v>14972785.759113299</v>
      </c>
      <c r="AB25" s="44">
        <f t="shared" si="45"/>
        <v>2281664.7351532434</v>
      </c>
      <c r="AC25" s="44">
        <f t="shared" si="46"/>
        <v>4028317.4866164275</v>
      </c>
      <c r="AD25" s="44">
        <f t="shared" si="47"/>
        <v>365.60756712483544</v>
      </c>
      <c r="AE25" s="44">
        <f t="shared" si="9"/>
        <v>27281344.993063036</v>
      </c>
      <c r="AG25" s="17">
        <f>L25+(1.07)*(1.1)*($V$2*tc-$AQ$3)</f>
        <v>56.384657626287016</v>
      </c>
      <c r="AH25" s="17">
        <f>M25+(1.07)*(1.1)*($W$2*tc-$AR$3)</f>
        <v>37.913101321206987</v>
      </c>
      <c r="AI25" s="17">
        <f>N25+(1.07)*(1.1)*($X$2*tc-$AS$3)</f>
        <v>43.229042009986252</v>
      </c>
      <c r="AJ25" s="17">
        <f>O25+(1.07)*(1.1)*($Y$2*tc-$AT$3)</f>
        <v>36.889900873861627</v>
      </c>
      <c r="AK25" s="17">
        <f>P25+(1.07)*(1.1)*($Z$2*tc-$AU$3)</f>
        <v>25.531344246669885</v>
      </c>
      <c r="AL25" s="17">
        <f>Q25+(1.07)*(1.1)*($AA$2*tc-$AV$3)</f>
        <v>47.221844020266524</v>
      </c>
      <c r="AM25" s="17">
        <f>R25+(1.07)*(1.1)*($AB$2*tc-$AW$3)</f>
        <v>14.016595543948979</v>
      </c>
      <c r="AN25" s="17">
        <f>S25+(1.07)*(1.1)*($AC$2*tc-$AX$3)</f>
        <v>16.82816737689561</v>
      </c>
      <c r="AO25" s="17">
        <f>T25+(1.07)*(1.1)*($AD$2*tc-$AY$3)</f>
        <v>47.019500715360181</v>
      </c>
      <c r="AQ25" s="17">
        <f t="shared" si="10"/>
        <v>293140.35163093964</v>
      </c>
      <c r="AR25" s="17">
        <f t="shared" si="11"/>
        <v>6526144.6661084769</v>
      </c>
      <c r="AS25" s="17">
        <f t="shared" si="12"/>
        <v>3649732.1068590949</v>
      </c>
      <c r="AT25" s="17">
        <f t="shared" si="13"/>
        <v>1349289.6520709258</v>
      </c>
      <c r="AU25" s="17">
        <f t="shared" si="14"/>
        <v>163465.8877477666</v>
      </c>
      <c r="AV25" s="17">
        <f t="shared" si="15"/>
        <v>20153232.495227966</v>
      </c>
      <c r="AW25" s="17">
        <f t="shared" si="16"/>
        <v>4183886.0959307184</v>
      </c>
      <c r="AX25" s="17">
        <f t="shared" si="17"/>
        <v>4376121.3936989</v>
      </c>
      <c r="AY25" s="17">
        <f t="shared" si="18"/>
        <v>419.65253922734934</v>
      </c>
      <c r="BA25">
        <f t="shared" si="19"/>
        <v>172666.19827765779</v>
      </c>
      <c r="BB25">
        <f t="shared" si="20"/>
        <v>3459640.1497569485</v>
      </c>
      <c r="BC25">
        <f t="shared" si="21"/>
        <v>1934796.1742742129</v>
      </c>
      <c r="BD25">
        <f t="shared" si="22"/>
        <v>635809.33379457879</v>
      </c>
      <c r="BE25">
        <f t="shared" si="23"/>
        <v>14442.757485512033</v>
      </c>
      <c r="BF25">
        <f t="shared" si="24"/>
        <v>14678146.588069098</v>
      </c>
      <c r="BG25">
        <f t="shared" si="25"/>
        <v>1906072.5693100863</v>
      </c>
      <c r="BH25">
        <f t="shared" si="26"/>
        <v>2526631.9317025789</v>
      </c>
      <c r="BI25">
        <f t="shared" si="27"/>
        <v>348.62866764166245</v>
      </c>
      <c r="BJ25">
        <f t="shared" si="28"/>
        <v>25328554.331338316</v>
      </c>
      <c r="BK25" s="44">
        <f t="shared" si="29"/>
        <v>0.92842029371274526</v>
      </c>
    </row>
    <row r="26" spans="1:63" x14ac:dyDescent="0.25">
      <c r="A26" s="29">
        <v>2030</v>
      </c>
      <c r="B26" s="16">
        <v>273756.85716901824</v>
      </c>
      <c r="C26" s="16">
        <v>6425957.0010651136</v>
      </c>
      <c r="D26" s="16">
        <v>3634324.2217992437</v>
      </c>
      <c r="E26" s="16">
        <v>1371052.2851741596</v>
      </c>
      <c r="F26" s="16">
        <v>174517.52792365075</v>
      </c>
      <c r="G26" s="16">
        <v>20552672.606284209</v>
      </c>
      <c r="H26" s="16">
        <v>5451480.0834140256</v>
      </c>
      <c r="I26" s="16">
        <v>7616336.5169356549</v>
      </c>
      <c r="J26" s="31">
        <v>442.44158450990187</v>
      </c>
      <c r="K26" s="36"/>
      <c r="L26" s="71">
        <f t="shared" si="48"/>
        <v>59.301203019992919</v>
      </c>
      <c r="M26" s="71">
        <f t="shared" si="49"/>
        <v>40.209453747829201</v>
      </c>
      <c r="N26" s="71">
        <f t="shared" si="50"/>
        <v>45.747290997429438</v>
      </c>
      <c r="O26" s="71">
        <f t="shared" si="51"/>
        <v>39.106555207480014</v>
      </c>
      <c r="P26" s="71">
        <f t="shared" si="52"/>
        <v>26.211040921355981</v>
      </c>
      <c r="Q26" s="71">
        <f t="shared" si="53"/>
        <v>46.663236770699832</v>
      </c>
      <c r="R26" s="71">
        <f t="shared" si="54"/>
        <v>11.863799227731931</v>
      </c>
      <c r="S26" s="71">
        <f t="shared" si="55"/>
        <v>10.84482260694514</v>
      </c>
      <c r="T26" s="71">
        <f t="shared" si="56"/>
        <v>40.682827871795844</v>
      </c>
      <c r="V26" s="44">
        <f t="shared" si="39"/>
        <v>161248.88817532948</v>
      </c>
      <c r="W26" s="44">
        <f t="shared" si="40"/>
        <v>3406528.6595544023</v>
      </c>
      <c r="X26" s="44">
        <f t="shared" si="41"/>
        <v>1926628.1454450747</v>
      </c>
      <c r="Y26" s="44">
        <f t="shared" si="42"/>
        <v>646064.27440999495</v>
      </c>
      <c r="Z26" s="44">
        <f t="shared" si="43"/>
        <v>15419.206829632865</v>
      </c>
      <c r="AA26" s="44">
        <f t="shared" si="44"/>
        <v>14969069.669744775</v>
      </c>
      <c r="AB26" s="44">
        <f t="shared" si="45"/>
        <v>2483556.2945277179</v>
      </c>
      <c r="AC26" s="44">
        <f t="shared" si="46"/>
        <v>4397428.0681497231</v>
      </c>
      <c r="AD26" s="44">
        <f t="shared" si="47"/>
        <v>367.56079303356336</v>
      </c>
      <c r="AE26" s="44">
        <f t="shared" si="9"/>
        <v>28006310.767629683</v>
      </c>
      <c r="AG26" s="17">
        <f>L26+(1.07)*(1.1)*($V$2*tc-$AQ$3)</f>
        <v>57.214164941123926</v>
      </c>
      <c r="AH26" s="17">
        <f>M26+(1.07)*(1.1)*($W$2*tc-$AR$3)</f>
        <v>38.331119476847107</v>
      </c>
      <c r="AI26" s="17">
        <f>N26+(1.07)*(1.1)*($X$2*tc-$AS$3)</f>
        <v>43.868956726447344</v>
      </c>
      <c r="AJ26" s="17">
        <f>O26+(1.07)*(1.1)*($Y$2*tc-$AT$3)</f>
        <v>37.436924744384818</v>
      </c>
      <c r="AK26" s="17">
        <f>P26+(1.07)*(1.1)*($Z$2*tc-$AU$3)</f>
        <v>25.897985209525633</v>
      </c>
      <c r="AL26" s="17">
        <f>Q26+(1.07)*(1.1)*($AA$2*tc-$AV$3)</f>
        <v>48.020279287566751</v>
      </c>
      <c r="AM26" s="17">
        <f>R26+(1.07)*(1.1)*($AB$2*tc-$AW$3)</f>
        <v>14.067896105809689</v>
      </c>
      <c r="AN26" s="17">
        <f>S26+(1.07)*(1.1)*($AC$2*tc-$AX$3)</f>
        <v>16.875061755529021</v>
      </c>
      <c r="AO26" s="17">
        <f>T26+(1.07)*(1.1)*($AD$2*tc-$AY$3)</f>
        <v>48.204437449490158</v>
      </c>
      <c r="AQ26" s="17">
        <f t="shared" si="10"/>
        <v>285279.01709046535</v>
      </c>
      <c r="AR26" s="17">
        <f t="shared" si="11"/>
        <v>6591633.9404532406</v>
      </c>
      <c r="AS26" s="17">
        <f t="shared" si="12"/>
        <v>3813956.1969150938</v>
      </c>
      <c r="AT26" s="17">
        <f t="shared" si="13"/>
        <v>1441647.5100424679</v>
      </c>
      <c r="AU26" s="17">
        <f t="shared" si="14"/>
        <v>176947.21791136829</v>
      </c>
      <c r="AV26" s="17">
        <f t="shared" si="15"/>
        <v>20154986.234515034</v>
      </c>
      <c r="AW26" s="17">
        <f t="shared" si="16"/>
        <v>4557352.1775590079</v>
      </c>
      <c r="AX26" s="17">
        <f t="shared" si="17"/>
        <v>4784895.2024696125</v>
      </c>
      <c r="AY26" s="17">
        <f t="shared" si="18"/>
        <v>422.43233847050419</v>
      </c>
      <c r="BA26">
        <f t="shared" si="19"/>
        <v>168035.69708278487</v>
      </c>
      <c r="BB26">
        <f t="shared" si="20"/>
        <v>3494357.3272780371</v>
      </c>
      <c r="BC26">
        <f t="shared" si="21"/>
        <v>2021854.6574343517</v>
      </c>
      <c r="BD26">
        <f t="shared" si="22"/>
        <v>679330.0026572299</v>
      </c>
      <c r="BE26">
        <f t="shared" si="23"/>
        <v>15633.878060071649</v>
      </c>
      <c r="BF26">
        <f t="shared" si="24"/>
        <v>14679423.884023428</v>
      </c>
      <c r="BG26">
        <f t="shared" si="25"/>
        <v>2076214.2599387483</v>
      </c>
      <c r="BH26">
        <f t="shared" si="26"/>
        <v>2762644.7990720505</v>
      </c>
      <c r="BI26">
        <f t="shared" si="27"/>
        <v>350.93800123520316</v>
      </c>
      <c r="BJ26">
        <f t="shared" si="28"/>
        <v>25897845.443547934</v>
      </c>
      <c r="BK26" s="44">
        <f t="shared" si="29"/>
        <v>0.92471463515577501</v>
      </c>
    </row>
    <row r="27" spans="1:63" x14ac:dyDescent="0.25">
      <c r="A27" s="29"/>
      <c r="B27" s="16"/>
      <c r="C27" s="16"/>
      <c r="D27" s="16"/>
      <c r="E27" s="16"/>
      <c r="F27" s="16"/>
      <c r="G27" s="16"/>
      <c r="H27" s="16"/>
      <c r="I27" s="16"/>
      <c r="J27" s="31"/>
      <c r="K27" s="36"/>
      <c r="L27" s="37"/>
      <c r="M27" s="37"/>
      <c r="N27" s="37"/>
      <c r="O27" s="37"/>
      <c r="P27" s="37"/>
      <c r="Q27" s="37"/>
      <c r="R27" s="37"/>
      <c r="S27" s="37"/>
      <c r="T27" s="37"/>
      <c r="AD27" s="17" t="s">
        <v>53</v>
      </c>
      <c r="AE27" s="44">
        <f>SUM(AE17:AE26)</f>
        <v>253023725.0568147</v>
      </c>
      <c r="BA27"/>
      <c r="BB27"/>
      <c r="BC27"/>
      <c r="BD27"/>
      <c r="BE27"/>
      <c r="BF27"/>
      <c r="BG27" t="s">
        <v>46</v>
      </c>
      <c r="BH27" s="72">
        <v>11.4536</v>
      </c>
      <c r="BI27" t="s">
        <v>53</v>
      </c>
      <c r="BJ27">
        <f>SUM(BJ17:BJ26)</f>
        <v>237557659.80785683</v>
      </c>
      <c r="BK27" s="44">
        <f>BJ27/AE27</f>
        <v>0.93887503930516758</v>
      </c>
    </row>
    <row r="28" spans="1:63" x14ac:dyDescent="0.25">
      <c r="A28" s="29">
        <v>2031</v>
      </c>
      <c r="B28" s="16">
        <v>265447.42050433077</v>
      </c>
      <c r="C28" s="16">
        <v>6492219.4495764775</v>
      </c>
      <c r="D28" s="16">
        <v>3799650.7495097099</v>
      </c>
      <c r="E28" s="16">
        <v>1465647.4788533202</v>
      </c>
      <c r="F28" s="16">
        <v>188918.38193168718</v>
      </c>
      <c r="G28" s="16">
        <v>20547571.647157643</v>
      </c>
      <c r="H28" s="16">
        <v>5933876.8067059647</v>
      </c>
      <c r="I28" s="16">
        <v>8314161.820779359</v>
      </c>
      <c r="J28" s="31">
        <v>445.00565387018133</v>
      </c>
      <c r="K28" s="36"/>
      <c r="L28" s="71">
        <f>59.3*(1+$L$2)</f>
        <v>60.141258033936083</v>
      </c>
      <c r="M28" s="71">
        <f>40.21*(1+$M$2)</f>
        <v>40.632415270726966</v>
      </c>
      <c r="N28" s="71">
        <f>45.75*(1+$N$2)</f>
        <v>46.399031282505497</v>
      </c>
      <c r="O28" s="71">
        <f>39.11*(1+$O$2)</f>
        <v>39.664833081066448</v>
      </c>
      <c r="P28" s="71">
        <f>26.21*(1+$P$2)</f>
        <v>26.58182753911408</v>
      </c>
      <c r="Q28" s="71">
        <f>46.66*(1+$Q$2)</f>
        <v>47.472278443404299</v>
      </c>
      <c r="R28" s="71">
        <f>11.86*(1+$R$2)</f>
        <v>11.911506855651623</v>
      </c>
      <c r="S28" s="71">
        <f>10.84*(1+$S$2)</f>
        <v>10.887077092349376</v>
      </c>
      <c r="T28" s="71">
        <f>40.68*(1+$T$2)</f>
        <v>41.900399999999998</v>
      </c>
      <c r="V28" s="44">
        <f>B28*$V$2</f>
        <v>156354.44484557965</v>
      </c>
      <c r="W28" s="44">
        <f>C28*$W$2</f>
        <v>3441655.7122048936</v>
      </c>
      <c r="X28" s="44">
        <f>D28*$X$2</f>
        <v>2014271.0529119265</v>
      </c>
      <c r="Y28" s="44">
        <f>E28*$Y$2</f>
        <v>690639.2157363476</v>
      </c>
      <c r="Z28" s="44">
        <f>F28*$Z$2</f>
        <v>16691.57040889698</v>
      </c>
      <c r="AA28" s="44">
        <f>G28*$AA$2</f>
        <v>14965354.502670847</v>
      </c>
      <c r="AB28" s="44">
        <f>H28*$AB$2</f>
        <v>2703324.0273744916</v>
      </c>
      <c r="AC28" s="44">
        <f>I28*$AC$2</f>
        <v>4800329.9844403183</v>
      </c>
      <c r="AD28" s="44">
        <f>J28*$AD$2</f>
        <v>369.69090783391908</v>
      </c>
      <c r="AE28" s="44">
        <f t="shared" si="9"/>
        <v>28788990.201501135</v>
      </c>
      <c r="AG28" s="17">
        <f>L28+(1.07)*(1.1)*($V$2*tc-$AQ$3)</f>
        <v>58.05421995506709</v>
      </c>
      <c r="AH28" s="17">
        <f>M28+(1.07)*(1.1)*($W$2*tc-$AR$3)</f>
        <v>38.754080999744872</v>
      </c>
      <c r="AI28" s="17">
        <f>N28+(1.07)*(1.1)*($X$2*tc-$AS$3)</f>
        <v>44.520697011523403</v>
      </c>
      <c r="AJ28" s="17">
        <f>O28+(1.07)*(1.1)*($Y$2*tc-$AT$3)</f>
        <v>37.995202617971252</v>
      </c>
      <c r="AK28" s="17">
        <f>P28+(1.07)*(1.1)*($Z$2*tc-$AU$3)</f>
        <v>26.268771827283732</v>
      </c>
      <c r="AL28" s="17">
        <f>Q28+(1.07)*(1.1)*($AA$2*tc-$AV$3)</f>
        <v>48.829320960271218</v>
      </c>
      <c r="AM28" s="17">
        <f>R28+(1.07)*(1.1)*($AB$2*tc-$AW$3)</f>
        <v>14.115603733729381</v>
      </c>
      <c r="AN28" s="17">
        <f>S28+(1.07)*(1.1)*($AC$2*tc-$AX$3)</f>
        <v>16.917316240933257</v>
      </c>
      <c r="AO28" s="17">
        <f>T28+(1.07)*(1.1)*($AD$2*tc-$AY$3)</f>
        <v>49.422009577694311</v>
      </c>
      <c r="AQ28" s="17">
        <f t="shared" si="10"/>
        <v>276457.74933051819</v>
      </c>
      <c r="AR28" s="17">
        <f t="shared" si="11"/>
        <v>6657797.9493338382</v>
      </c>
      <c r="AS28" s="17">
        <f t="shared" si="12"/>
        <v>3984696.4670705474</v>
      </c>
      <c r="AT28" s="17">
        <f t="shared" si="13"/>
        <v>1540000.9729134035</v>
      </c>
      <c r="AU28" s="17">
        <f t="shared" si="14"/>
        <v>191511.40689741622</v>
      </c>
      <c r="AV28" s="17">
        <f t="shared" si="15"/>
        <v>20156601.261086591</v>
      </c>
      <c r="AW28" s="17">
        <f t="shared" si="16"/>
        <v>4963902.9567887066</v>
      </c>
      <c r="AX28" s="17">
        <f t="shared" si="17"/>
        <v>5230924.464233025</v>
      </c>
      <c r="AY28" s="17">
        <f t="shared" si="18"/>
        <v>425.40751734973912</v>
      </c>
      <c r="BA28">
        <f t="shared" si="19"/>
        <v>162839.77383433029</v>
      </c>
      <c r="BB28">
        <f t="shared" si="20"/>
        <v>3529432.1951063476</v>
      </c>
      <c r="BC28">
        <f t="shared" si="21"/>
        <v>2112367.4983276548</v>
      </c>
      <c r="BD28">
        <f t="shared" si="22"/>
        <v>725675.90741413692</v>
      </c>
      <c r="BE28">
        <f t="shared" si="23"/>
        <v>16920.672830508574</v>
      </c>
      <c r="BF28">
        <f t="shared" si="24"/>
        <v>14680600.151739614</v>
      </c>
      <c r="BG28">
        <f t="shared" si="25"/>
        <v>2261428.5010900688</v>
      </c>
      <c r="BH28">
        <f t="shared" si="26"/>
        <v>3020167.7683543572</v>
      </c>
      <c r="BI28">
        <f t="shared" si="27"/>
        <v>353.40964754186678</v>
      </c>
      <c r="BJ28">
        <f t="shared" si="28"/>
        <v>26509785.878344558</v>
      </c>
      <c r="BK28" s="44">
        <f t="shared" si="29"/>
        <v>0.92083069579016585</v>
      </c>
    </row>
    <row r="29" spans="1:63" x14ac:dyDescent="0.25">
      <c r="A29" s="29">
        <v>2032</v>
      </c>
      <c r="B29" s="16">
        <v>256153.65119011933</v>
      </c>
      <c r="C29" s="16">
        <v>6559165.175626412</v>
      </c>
      <c r="D29" s="16">
        <v>3971596.0459243315</v>
      </c>
      <c r="E29" s="16">
        <v>1566427.2900491778</v>
      </c>
      <c r="F29" s="16">
        <v>204475.52519452322</v>
      </c>
      <c r="G29" s="16">
        <v>20542471.954036076</v>
      </c>
      <c r="H29" s="16">
        <v>6458988.877869823</v>
      </c>
      <c r="I29" s="16">
        <v>9075867.268650854</v>
      </c>
      <c r="J29" s="31">
        <v>447.46409411917165</v>
      </c>
      <c r="K29" s="36"/>
      <c r="L29" s="71">
        <f>60.14*(1+$L$2)</f>
        <v>60.993174673877171</v>
      </c>
      <c r="M29" s="71">
        <f>40.63*(1+$M$2)</f>
        <v>41.056827467038964</v>
      </c>
      <c r="N29" s="71">
        <f>46.4*(1+$N$2)</f>
        <v>47.058252491983716</v>
      </c>
      <c r="O29" s="71">
        <f>39.66*(1+$O$2)</f>
        <v>40.22263564293263</v>
      </c>
      <c r="P29" s="71">
        <f>26.58*(1+$P$2)</f>
        <v>26.957076535278603</v>
      </c>
      <c r="Q29" s="71">
        <f>47.47*(1+$Q$2)</f>
        <v>48.296379290793013</v>
      </c>
      <c r="R29" s="71">
        <f>11.91*(1+$R$2)</f>
        <v>11.961724000911538</v>
      </c>
      <c r="S29" s="71">
        <f>10.89*(1+$S$2)</f>
        <v>10.937294237609292</v>
      </c>
      <c r="T29" s="71">
        <f>41.9*(1+$T$2)</f>
        <v>43.156999999999996</v>
      </c>
      <c r="V29" s="44">
        <f t="shared" ref="V29:V37" si="57">B29*$V$2</f>
        <v>150880.20765432881</v>
      </c>
      <c r="W29" s="44">
        <f t="shared" ref="W29:W37" si="58">C29*$W$2</f>
        <v>3477144.9839796629</v>
      </c>
      <c r="X29" s="44">
        <f t="shared" ref="X29:X37" si="59">D29*$X$2</f>
        <v>2105422.7023884011</v>
      </c>
      <c r="Y29" s="44">
        <f t="shared" ref="Y29:Y37" si="60">E29*$Y$2</f>
        <v>738128.45907119045</v>
      </c>
      <c r="Z29" s="44">
        <f t="shared" ref="Z29:Z37" si="61">F29*$Z$2</f>
        <v>18066.096008141325</v>
      </c>
      <c r="AA29" s="44">
        <f t="shared" ref="AA29:AA37" si="62">G29*$AA$2</f>
        <v>14961640.257662745</v>
      </c>
      <c r="AB29" s="44">
        <f t="shared" ref="AB29:AB37" si="63">H29*$AB$2</f>
        <v>2942551.7911591036</v>
      </c>
      <c r="AC29" s="44">
        <f t="shared" ref="AC29:AC37" si="64">I29*$AC$2</f>
        <v>5240114.2440623334</v>
      </c>
      <c r="AD29" s="44">
        <f t="shared" ref="AD29:AD37" si="65">J29*$AD$2</f>
        <v>371.73327066594237</v>
      </c>
      <c r="AE29" s="44">
        <f t="shared" si="9"/>
        <v>29634320.475256577</v>
      </c>
      <c r="AG29" s="17">
        <f>L29+(1.07)*(1.1)*($V$2*tc-$AQ$3)</f>
        <v>58.906136595008178</v>
      </c>
      <c r="AH29" s="17">
        <f>M29+(1.07)*(1.1)*($W$2*tc-$AR$3)</f>
        <v>39.17849319605687</v>
      </c>
      <c r="AI29" s="17">
        <f>N29+(1.07)*(1.1)*($X$2*tc-$AS$3)</f>
        <v>45.179918221001621</v>
      </c>
      <c r="AJ29" s="17">
        <f>O29+(1.07)*(1.1)*($Y$2*tc-$AT$3)</f>
        <v>38.553005179837434</v>
      </c>
      <c r="AK29" s="17">
        <f>P29+(1.07)*(1.1)*($Z$2*tc-$AU$3)</f>
        <v>26.644020823448255</v>
      </c>
      <c r="AL29" s="17">
        <f>Q29+(1.07)*(1.1)*($AA$2*tc-$AV$3)</f>
        <v>49.653421807659932</v>
      </c>
      <c r="AM29" s="17">
        <f>R29+(1.07)*(1.1)*($AB$2*tc-$AW$3)</f>
        <v>14.165820878989296</v>
      </c>
      <c r="AN29" s="17">
        <f>S29+(1.07)*(1.1)*($AC$2*tc-$AX$3)</f>
        <v>16.967533386193171</v>
      </c>
      <c r="AO29" s="17">
        <f>T29+(1.07)*(1.1)*($AD$2*tc-$AY$3)</f>
        <v>50.67860957769431</v>
      </c>
      <c r="AQ29" s="17">
        <f t="shared" si="10"/>
        <v>266624.42916153709</v>
      </c>
      <c r="AR29" s="17">
        <f t="shared" si="11"/>
        <v>6724658.5220074076</v>
      </c>
      <c r="AS29" s="17">
        <f t="shared" si="12"/>
        <v>4162184.8232511855</v>
      </c>
      <c r="AT29" s="17">
        <f t="shared" si="13"/>
        <v>1644740.0237740437</v>
      </c>
      <c r="AU29" s="17">
        <f t="shared" si="14"/>
        <v>207242.5201410708</v>
      </c>
      <c r="AV29" s="17">
        <f t="shared" si="15"/>
        <v>20158114.749311723</v>
      </c>
      <c r="AW29" s="17">
        <f t="shared" si="16"/>
        <v>5406904.3570090057</v>
      </c>
      <c r="AX29" s="17">
        <f t="shared" si="17"/>
        <v>5719999.0533719519</v>
      </c>
      <c r="AY29" s="17">
        <f t="shared" si="18"/>
        <v>428.27625519170311</v>
      </c>
      <c r="BA29">
        <f t="shared" si="19"/>
        <v>157047.72916842706</v>
      </c>
      <c r="BB29">
        <f t="shared" si="20"/>
        <v>3564876.32536881</v>
      </c>
      <c r="BC29">
        <f t="shared" si="21"/>
        <v>2206457.6349355294</v>
      </c>
      <c r="BD29">
        <f t="shared" si="22"/>
        <v>775030.81504851312</v>
      </c>
      <c r="BE29">
        <f t="shared" si="23"/>
        <v>18310.569258965916</v>
      </c>
      <c r="BF29">
        <f t="shared" si="24"/>
        <v>14681702.466320319</v>
      </c>
      <c r="BG29">
        <f t="shared" si="25"/>
        <v>2463248.7222349835</v>
      </c>
      <c r="BH29">
        <f t="shared" si="26"/>
        <v>3302543.7270473703</v>
      </c>
      <c r="BI29">
        <f t="shared" si="27"/>
        <v>355.79286736819864</v>
      </c>
      <c r="BJ29">
        <f t="shared" si="28"/>
        <v>27169573.782250285</v>
      </c>
      <c r="BK29" s="44">
        <f t="shared" si="29"/>
        <v>0.91682796657800025</v>
      </c>
    </row>
    <row r="30" spans="1:63" x14ac:dyDescent="0.25">
      <c r="A30" s="29">
        <v>2033</v>
      </c>
      <c r="B30" s="16">
        <v>245822.54148976211</v>
      </c>
      <c r="C30" s="16">
        <v>6626801.2249581087</v>
      </c>
      <c r="D30" s="16">
        <v>4150377.0971359094</v>
      </c>
      <c r="E30" s="16">
        <v>1673770.9538828142</v>
      </c>
      <c r="F30" s="16">
        <v>221278.6435054476</v>
      </c>
      <c r="G30" s="16">
        <v>20537373.526605155</v>
      </c>
      <c r="H30" s="16">
        <v>7030601.1435029395</v>
      </c>
      <c r="I30" s="16">
        <v>9907295.8265261613</v>
      </c>
      <c r="J30" s="31">
        <v>449.65477452861217</v>
      </c>
      <c r="K30" s="36"/>
      <c r="L30" s="71">
        <f>L29*(1+$L$2)</f>
        <v>61.85845288989178</v>
      </c>
      <c r="M30" s="71">
        <f>M29*(1+$M$2)</f>
        <v>41.488138854496803</v>
      </c>
      <c r="N30" s="71">
        <f>N29*(1+$N$2)</f>
        <v>47.725843267226111</v>
      </c>
      <c r="O30" s="71">
        <f>O29*(1+$O$2)</f>
        <v>40.793253102978177</v>
      </c>
      <c r="P30" s="71">
        <f>P29*(1+$P$2)</f>
        <v>27.339502457820476</v>
      </c>
      <c r="Q30" s="71">
        <f>Q29*(1+$Q$2)</f>
        <v>49.137144567097963</v>
      </c>
      <c r="R30" s="71">
        <f>R29*(1+$R$2)</f>
        <v>12.01367263425551</v>
      </c>
      <c r="S30" s="71">
        <f>S29*(1+$S$2)</f>
        <v>10.984793869608945</v>
      </c>
      <c r="T30" s="71">
        <f>T29*(1+$T$2)</f>
        <v>44.451709999999999</v>
      </c>
      <c r="V30" s="44">
        <f t="shared" si="57"/>
        <v>144794.95386369427</v>
      </c>
      <c r="W30" s="44">
        <f t="shared" si="58"/>
        <v>3513000.2099684565</v>
      </c>
      <c r="X30" s="44">
        <f t="shared" si="59"/>
        <v>2200198.1225532973</v>
      </c>
      <c r="Y30" s="44">
        <f t="shared" si="60"/>
        <v>788710.70676306402</v>
      </c>
      <c r="Z30" s="44">
        <f t="shared" si="61"/>
        <v>19550.707666932893</v>
      </c>
      <c r="AA30" s="44">
        <f t="shared" si="62"/>
        <v>14957926.934491517</v>
      </c>
      <c r="AB30" s="44">
        <f t="shared" si="63"/>
        <v>3202963.866158986</v>
      </c>
      <c r="AC30" s="44">
        <f t="shared" si="64"/>
        <v>5720154.387894257</v>
      </c>
      <c r="AD30" s="44">
        <f t="shared" si="65"/>
        <v>373.55319053054774</v>
      </c>
      <c r="AE30" s="44">
        <f t="shared" si="9"/>
        <v>30547673.442550734</v>
      </c>
      <c r="AG30" s="17">
        <f>L30+(1.07)*(1.1)*($V$2*tc-$AQ$3)</f>
        <v>59.771414811022787</v>
      </c>
      <c r="AH30" s="17">
        <f>M30+(1.07)*(1.1)*($W$2*tc-$AR$3)</f>
        <v>39.609804583514709</v>
      </c>
      <c r="AI30" s="17">
        <f>N30+(1.07)*(1.1)*($X$2*tc-$AS$3)</f>
        <v>45.847508996244017</v>
      </c>
      <c r="AJ30" s="17">
        <f>O30+(1.07)*(1.1)*($Y$2*tc-$AT$3)</f>
        <v>39.123622639882981</v>
      </c>
      <c r="AK30" s="17">
        <f>P30+(1.07)*(1.1)*($Z$2*tc-$AU$3)</f>
        <v>27.026446745990128</v>
      </c>
      <c r="AL30" s="17">
        <f>Q30+(1.07)*(1.1)*($AA$2*tc-$AV$3)</f>
        <v>50.494187083964881</v>
      </c>
      <c r="AM30" s="17">
        <f>R30+(1.07)*(1.1)*($AB$2*tc-$AW$3)</f>
        <v>14.217769512333268</v>
      </c>
      <c r="AN30" s="17">
        <f>S30+(1.07)*(1.1)*($AC$2*tc-$AX$3)</f>
        <v>17.015033018192824</v>
      </c>
      <c r="AO30" s="17">
        <f>T30+(1.07)*(1.1)*($AD$2*tc-$AY$3)</f>
        <v>51.973319577694312</v>
      </c>
      <c r="AQ30" s="17">
        <f t="shared" si="10"/>
        <v>255725.17471513728</v>
      </c>
      <c r="AR30" s="17">
        <f t="shared" si="11"/>
        <v>6792199.9560578614</v>
      </c>
      <c r="AS30" s="17">
        <f t="shared" si="12"/>
        <v>4346636.3799307533</v>
      </c>
      <c r="AT30" s="17">
        <f t="shared" si="13"/>
        <v>1756225.9981687875</v>
      </c>
      <c r="AU30" s="17">
        <f t="shared" si="14"/>
        <v>224230.61355516635</v>
      </c>
      <c r="AV30" s="17">
        <f t="shared" si="15"/>
        <v>20159537.876528479</v>
      </c>
      <c r="AW30" s="17">
        <f t="shared" si="16"/>
        <v>5889574.2088419283</v>
      </c>
      <c r="AX30" s="17">
        <f t="shared" si="17"/>
        <v>6254104.7244006163</v>
      </c>
      <c r="AY30" s="17">
        <f t="shared" si="18"/>
        <v>430.88192463479533</v>
      </c>
      <c r="BA30">
        <f t="shared" si="19"/>
        <v>150627.82546410852</v>
      </c>
      <c r="BB30">
        <f t="shared" si="20"/>
        <v>3600681.3938997914</v>
      </c>
      <c r="BC30">
        <f t="shared" si="21"/>
        <v>2304239.1037539826</v>
      </c>
      <c r="BD30">
        <f t="shared" si="22"/>
        <v>827564.99330932403</v>
      </c>
      <c r="BE30">
        <f t="shared" si="23"/>
        <v>19811.524086309448</v>
      </c>
      <c r="BF30">
        <f t="shared" si="24"/>
        <v>14682738.968524417</v>
      </c>
      <c r="BG30">
        <f t="shared" si="25"/>
        <v>2683140.8855294148</v>
      </c>
      <c r="BH30">
        <f t="shared" si="26"/>
        <v>3610919.1860251678</v>
      </c>
      <c r="BI30">
        <f t="shared" si="27"/>
        <v>357.95754166739948</v>
      </c>
      <c r="BJ30">
        <f t="shared" si="28"/>
        <v>27880081.838134181</v>
      </c>
      <c r="BK30" s="44">
        <f t="shared" si="29"/>
        <v>0.91267447553957459</v>
      </c>
    </row>
    <row r="31" spans="1:63" x14ac:dyDescent="0.25">
      <c r="A31" s="29">
        <v>2034</v>
      </c>
      <c r="B31" s="16">
        <v>234399.27053845188</v>
      </c>
      <c r="C31" s="16">
        <v>6695134.7159682261</v>
      </c>
      <c r="D31" s="16">
        <v>4336215.4937299918</v>
      </c>
      <c r="E31" s="16">
        <v>1788079.1240977845</v>
      </c>
      <c r="F31" s="16">
        <v>239424.08364585388</v>
      </c>
      <c r="G31" s="16">
        <v>20532276.364550743</v>
      </c>
      <c r="H31" s="16">
        <v>7652834.0272392556</v>
      </c>
      <c r="I31" s="16">
        <v>10814824.503018783</v>
      </c>
      <c r="J31" s="31">
        <v>451.00033206971739</v>
      </c>
      <c r="K31" s="36"/>
      <c r="L31" s="71">
        <f t="shared" ref="L31:L37" si="66">L30*(1+$L$2)</f>
        <v>62.736006354655331</v>
      </c>
      <c r="M31" s="71">
        <f t="shared" ref="M31:M37" si="67">M30*(1+$M$2)</f>
        <v>41.923981266985741</v>
      </c>
      <c r="N31" s="71">
        <f t="shared" ref="N31:N37" si="68">N30*(1+$N$2)</f>
        <v>48.402904803059641</v>
      </c>
      <c r="O31" s="71">
        <f t="shared" ref="O31:O37" si="69">O30*(1+$O$2)</f>
        <v>41.371965613994512</v>
      </c>
      <c r="P31" s="71">
        <f t="shared" ref="P31:P37" si="70">P30*(1+$P$2)</f>
        <v>27.727353656580288</v>
      </c>
      <c r="Q31" s="71">
        <f t="shared" ref="Q31:Q37" si="71">Q30*(1+$Q$2)</f>
        <v>49.992546266675639</v>
      </c>
      <c r="R31" s="71">
        <f t="shared" ref="R31:R37" si="72">R30*(1+$R$2)</f>
        <v>12.065846875589276</v>
      </c>
      <c r="S31" s="71">
        <f t="shared" ref="S31:S37" si="73">S30*(1+$S$2)</f>
        <v>11.032499788007325</v>
      </c>
      <c r="T31" s="71">
        <f t="shared" ref="T31:T37" si="74">T30*(1+$T$2)</f>
        <v>45.785261300000002</v>
      </c>
      <c r="V31" s="44">
        <f t="shared" si="57"/>
        <v>138066.39276289576</v>
      </c>
      <c r="W31" s="44">
        <f t="shared" si="58"/>
        <v>3549225.1637760815</v>
      </c>
      <c r="X31" s="44">
        <f t="shared" si="59"/>
        <v>2298714.783019349</v>
      </c>
      <c r="Y31" s="44">
        <f t="shared" si="60"/>
        <v>842574.75399718399</v>
      </c>
      <c r="Z31" s="44">
        <f t="shared" si="61"/>
        <v>21153.917945398734</v>
      </c>
      <c r="AA31" s="44">
        <f t="shared" si="62"/>
        <v>14954214.532928366</v>
      </c>
      <c r="AB31" s="44">
        <f t="shared" si="63"/>
        <v>3486437.4130526353</v>
      </c>
      <c r="AC31" s="44">
        <f t="shared" si="64"/>
        <v>6244132.2958800076</v>
      </c>
      <c r="AD31" s="44">
        <f t="shared" si="65"/>
        <v>374.67101989875414</v>
      </c>
      <c r="AE31" s="44">
        <f t="shared" si="9"/>
        <v>31534893.924381822</v>
      </c>
      <c r="AG31" s="17">
        <f>L31+(1.07)*(1.1)*($V$2*tc-$AQ$3)</f>
        <v>60.648968275786338</v>
      </c>
      <c r="AH31" s="17">
        <f>M31+(1.07)*(1.1)*($W$2*tc-$AR$3)</f>
        <v>40.045646996003647</v>
      </c>
      <c r="AI31" s="17">
        <f>N31+(1.07)*(1.1)*($X$2*tc-$AS$3)</f>
        <v>46.524570532077547</v>
      </c>
      <c r="AJ31" s="17">
        <f>O31+(1.07)*(1.1)*($Y$2*tc-$AT$3)</f>
        <v>39.702335150899316</v>
      </c>
      <c r="AK31" s="17">
        <f>P31+(1.07)*(1.1)*($Z$2*tc-$AU$3)</f>
        <v>27.41429794474994</v>
      </c>
      <c r="AL31" s="17">
        <f>Q31+(1.07)*(1.1)*($AA$2*tc-$AV$3)</f>
        <v>51.349588783542558</v>
      </c>
      <c r="AM31" s="17">
        <f>R31+(1.07)*(1.1)*($AB$2*tc-$AW$3)</f>
        <v>14.269943753667034</v>
      </c>
      <c r="AN31" s="17">
        <f>S31+(1.07)*(1.1)*($AC$2*tc-$AX$3)</f>
        <v>17.062738936591206</v>
      </c>
      <c r="AO31" s="17">
        <f>T31+(1.07)*(1.1)*($AD$2*tc-$AY$3)</f>
        <v>53.306870877694315</v>
      </c>
      <c r="AQ31" s="17">
        <f t="shared" si="10"/>
        <v>243704.75931140827</v>
      </c>
      <c r="AR31" s="17">
        <f t="shared" si="11"/>
        <v>6860439.5678942678</v>
      </c>
      <c r="AS31" s="17">
        <f t="shared" si="12"/>
        <v>4538269.6842802064</v>
      </c>
      <c r="AT31" s="17">
        <f t="shared" si="13"/>
        <v>1874877.4054505858</v>
      </c>
      <c r="AU31" s="17">
        <f t="shared" si="14"/>
        <v>242572.89599305717</v>
      </c>
      <c r="AV31" s="17">
        <f t="shared" si="15"/>
        <v>20160854.054969065</v>
      </c>
      <c r="AW31" s="17">
        <f t="shared" si="16"/>
        <v>6415343.225175079</v>
      </c>
      <c r="AX31" s="17">
        <f t="shared" si="17"/>
        <v>6838009.9736667704</v>
      </c>
      <c r="AY31" s="17">
        <f t="shared" si="18"/>
        <v>432.66959546116976</v>
      </c>
      <c r="BA31">
        <f t="shared" si="19"/>
        <v>143547.53297645692</v>
      </c>
      <c r="BB31">
        <f t="shared" si="20"/>
        <v>3636856.5804749667</v>
      </c>
      <c r="BC31">
        <f t="shared" si="21"/>
        <v>2405827.7610206464</v>
      </c>
      <c r="BD31">
        <f t="shared" si="22"/>
        <v>883475.65126319078</v>
      </c>
      <c r="BE31">
        <f t="shared" si="23"/>
        <v>21432.126039605009</v>
      </c>
      <c r="BF31">
        <f t="shared" si="24"/>
        <v>14683697.577030102</v>
      </c>
      <c r="BG31">
        <f t="shared" si="25"/>
        <v>2922667.9368993044</v>
      </c>
      <c r="BH31">
        <f t="shared" si="26"/>
        <v>3948047.3219148386</v>
      </c>
      <c r="BI31">
        <f t="shared" si="27"/>
        <v>359.44265909222975</v>
      </c>
      <c r="BJ31">
        <f t="shared" si="28"/>
        <v>28645911.930278201</v>
      </c>
      <c r="BK31" s="44">
        <f t="shared" si="29"/>
        <v>0.90838776876715766</v>
      </c>
    </row>
    <row r="32" spans="1:63" x14ac:dyDescent="0.25">
      <c r="A32" s="29">
        <v>2035</v>
      </c>
      <c r="B32" s="16">
        <v>221827.18324079044</v>
      </c>
      <c r="C32" s="16">
        <v>6764172.8404561235</v>
      </c>
      <c r="D32" s="16">
        <v>4529337.4059087662</v>
      </c>
      <c r="E32" s="16">
        <v>1909774.956036831</v>
      </c>
      <c r="F32" s="16">
        <v>259015.32218303406</v>
      </c>
      <c r="G32" s="16">
        <v>20527180.467558831</v>
      </c>
      <c r="H32" s="16">
        <v>8330173.3019221043</v>
      </c>
      <c r="I32" s="16">
        <v>11805413.126691911</v>
      </c>
      <c r="J32" s="31">
        <v>451.42774525856959</v>
      </c>
      <c r="K32" s="36"/>
      <c r="L32" s="71">
        <f t="shared" si="66"/>
        <v>63.626009210691066</v>
      </c>
      <c r="M32" s="71">
        <f t="shared" si="67"/>
        <v>42.364402303962763</v>
      </c>
      <c r="N32" s="71">
        <f t="shared" si="68"/>
        <v>49.089571456203274</v>
      </c>
      <c r="O32" s="71">
        <f t="shared" si="69"/>
        <v>41.958888016228919</v>
      </c>
      <c r="P32" s="71">
        <f t="shared" si="70"/>
        <v>28.120707097109552</v>
      </c>
      <c r="Q32" s="71">
        <f t="shared" si="71"/>
        <v>50.86283918702096</v>
      </c>
      <c r="R32" s="71">
        <f t="shared" si="72"/>
        <v>12.118247704706947</v>
      </c>
      <c r="S32" s="71">
        <f t="shared" si="73"/>
        <v>11.080412888686705</v>
      </c>
      <c r="T32" s="71">
        <f t="shared" si="74"/>
        <v>47.158819139000002</v>
      </c>
      <c r="V32" s="44">
        <f t="shared" si="57"/>
        <v>130661.15323846818</v>
      </c>
      <c r="W32" s="44">
        <f t="shared" si="58"/>
        <v>3585823.657919588</v>
      </c>
      <c r="X32" s="44">
        <f t="shared" si="59"/>
        <v>2401092.5811459003</v>
      </c>
      <c r="Y32" s="44">
        <f t="shared" si="60"/>
        <v>899919.99911337125</v>
      </c>
      <c r="Z32" s="44">
        <f t="shared" si="61"/>
        <v>22884.869344077797</v>
      </c>
      <c r="AA32" s="44">
        <f t="shared" si="62"/>
        <v>14950503.052744595</v>
      </c>
      <c r="AB32" s="44">
        <f t="shared" si="63"/>
        <v>3795016.036367706</v>
      </c>
      <c r="AC32" s="44">
        <f t="shared" si="64"/>
        <v>6816066.3494822793</v>
      </c>
      <c r="AD32" s="44">
        <f t="shared" si="65"/>
        <v>375.026095768988</v>
      </c>
      <c r="AE32" s="44">
        <f t="shared" si="9"/>
        <v>32602342.725451756</v>
      </c>
      <c r="AG32" s="17">
        <f>L32+(1.07)*(1.1)*($V$2*tc-$AQ$3)</f>
        <v>61.538971131822073</v>
      </c>
      <c r="AH32" s="17">
        <f>M32+(1.07)*(1.1)*($W$2*tc-$AR$3)</f>
        <v>40.486068032980668</v>
      </c>
      <c r="AI32" s="17">
        <f>N32+(1.07)*(1.1)*($X$2*tc-$AS$3)</f>
        <v>47.211237185221179</v>
      </c>
      <c r="AJ32" s="17">
        <f>O32+(1.07)*(1.1)*($Y$2*tc-$AT$3)</f>
        <v>40.289257553133723</v>
      </c>
      <c r="AK32" s="17">
        <f>P32+(1.07)*(1.1)*($Z$2*tc-$AU$3)</f>
        <v>27.807651385279204</v>
      </c>
      <c r="AL32" s="17">
        <f>Q32+(1.07)*(1.1)*($AA$2*tc-$AV$3)</f>
        <v>52.219881703887879</v>
      </c>
      <c r="AM32" s="17">
        <f>R32+(1.07)*(1.1)*($AB$2*tc-$AW$3)</f>
        <v>14.322344582784705</v>
      </c>
      <c r="AN32" s="17">
        <f>S32+(1.07)*(1.1)*($AC$2*tc-$AX$3)</f>
        <v>17.110652037270587</v>
      </c>
      <c r="AO32" s="17">
        <f>T32+(1.07)*(1.1)*($AD$2*tc-$AY$3)</f>
        <v>54.680428716694315</v>
      </c>
      <c r="AQ32" s="17">
        <f t="shared" si="10"/>
        <v>230505.88864987373</v>
      </c>
      <c r="AR32" s="17">
        <f t="shared" si="11"/>
        <v>6929384.5404238589</v>
      </c>
      <c r="AS32" s="17">
        <f t="shared" si="12"/>
        <v>4737311.8322310336</v>
      </c>
      <c r="AT32" s="17">
        <f t="shared" si="13"/>
        <v>2001126.0699947847</v>
      </c>
      <c r="AU32" s="17">
        <f t="shared" si="14"/>
        <v>262373.56405223074</v>
      </c>
      <c r="AV32" s="17">
        <f t="shared" si="15"/>
        <v>20162064.998605996</v>
      </c>
      <c r="AW32" s="17">
        <f t="shared" si="16"/>
        <v>6988060.9242558563</v>
      </c>
      <c r="AX32" s="17">
        <f t="shared" si="17"/>
        <v>7476351.6344125504</v>
      </c>
      <c r="AY32" s="17">
        <f t="shared" si="18"/>
        <v>433.56644905348242</v>
      </c>
      <c r="BA32">
        <f t="shared" si="19"/>
        <v>135773.10408597474</v>
      </c>
      <c r="BB32">
        <f t="shared" si="20"/>
        <v>3673405.6928974921</v>
      </c>
      <c r="BC32">
        <f t="shared" si="21"/>
        <v>2511343.9948425307</v>
      </c>
      <c r="BD32">
        <f t="shared" si="22"/>
        <v>942966.27225261414</v>
      </c>
      <c r="BE32">
        <f t="shared" si="23"/>
        <v>23181.581236465649</v>
      </c>
      <c r="BF32">
        <f t="shared" si="24"/>
        <v>14684579.540170109</v>
      </c>
      <c r="BG32">
        <f t="shared" si="25"/>
        <v>3183583.6193883661</v>
      </c>
      <c r="BH32">
        <f t="shared" si="26"/>
        <v>4316605.2932953089</v>
      </c>
      <c r="BI32">
        <f t="shared" si="27"/>
        <v>360.18772517364386</v>
      </c>
      <c r="BJ32">
        <f t="shared" si="28"/>
        <v>29471799.28589404</v>
      </c>
      <c r="BK32" s="44">
        <f t="shared" si="29"/>
        <v>0.90397796054349844</v>
      </c>
    </row>
    <row r="33" spans="1:63" x14ac:dyDescent="0.25">
      <c r="A33" s="29">
        <v>2036</v>
      </c>
      <c r="B33" s="16">
        <v>208047.7709682899</v>
      </c>
      <c r="C33" s="16">
        <v>6833922.8643807033</v>
      </c>
      <c r="D33" s="16">
        <v>4729973.5523828743</v>
      </c>
      <c r="E33" s="16">
        <v>2039305.2365905545</v>
      </c>
      <c r="F33" s="16">
        <v>280163.46517634526</v>
      </c>
      <c r="G33" s="16">
        <v>20522085.835315473</v>
      </c>
      <c r="H33" s="16">
        <v>9067502.5047802627</v>
      </c>
      <c r="I33" s="16">
        <v>12886657.575636905</v>
      </c>
      <c r="J33" s="31">
        <v>451.17727108183789</v>
      </c>
      <c r="K33" s="36"/>
      <c r="L33" s="71">
        <f t="shared" si="66"/>
        <v>64.528638070990993</v>
      </c>
      <c r="M33" s="71">
        <f t="shared" si="67"/>
        <v>42.809450064928058</v>
      </c>
      <c r="N33" s="71">
        <f t="shared" si="68"/>
        <v>49.785979489424363</v>
      </c>
      <c r="O33" s="71">
        <f t="shared" si="69"/>
        <v>42.554136779107118</v>
      </c>
      <c r="P33" s="71">
        <f t="shared" si="70"/>
        <v>28.519640836829737</v>
      </c>
      <c r="Q33" s="71">
        <f t="shared" si="71"/>
        <v>51.748282561259209</v>
      </c>
      <c r="R33" s="71">
        <f t="shared" si="72"/>
        <v>12.170876105657788</v>
      </c>
      <c r="S33" s="71">
        <f t="shared" si="73"/>
        <v>11.128534071420093</v>
      </c>
      <c r="T33" s="71">
        <f t="shared" si="74"/>
        <v>48.573583713170002</v>
      </c>
      <c r="V33" s="44">
        <f t="shared" si="57"/>
        <v>122544.77240465993</v>
      </c>
      <c r="W33" s="44">
        <f t="shared" si="58"/>
        <v>3622799.5442294874</v>
      </c>
      <c r="X33" s="44">
        <f t="shared" si="59"/>
        <v>2507453.8255478339</v>
      </c>
      <c r="Y33" s="44">
        <f t="shared" si="60"/>
        <v>960956.97605800629</v>
      </c>
      <c r="Z33" s="44">
        <f t="shared" si="61"/>
        <v>24753.378454630722</v>
      </c>
      <c r="AA33" s="44">
        <f t="shared" si="62"/>
        <v>14946792.493711546</v>
      </c>
      <c r="AB33" s="44">
        <f t="shared" si="63"/>
        <v>4130924.5520144668</v>
      </c>
      <c r="AC33" s="44">
        <f t="shared" si="64"/>
        <v>7440342.1647314187</v>
      </c>
      <c r="AD33" s="44">
        <f t="shared" si="65"/>
        <v>374.81801296154595</v>
      </c>
      <c r="AE33" s="44">
        <f t="shared" si="9"/>
        <v>33756942.525165007</v>
      </c>
      <c r="AG33" s="17">
        <f>L33+(1.07)*(1.1)*($V$2*tc-$AQ$3)</f>
        <v>62.441599992122001</v>
      </c>
      <c r="AH33" s="17">
        <f>M33+(1.07)*(1.1)*($W$2*tc-$AR$3)</f>
        <v>40.931115793945963</v>
      </c>
      <c r="AI33" s="17">
        <f>N33+(1.07)*(1.1)*($X$2*tc-$AS$3)</f>
        <v>47.907645218442269</v>
      </c>
      <c r="AJ33" s="17">
        <f>O33+(1.07)*(1.1)*($Y$2*tc-$AT$3)</f>
        <v>40.884506316011922</v>
      </c>
      <c r="AK33" s="17">
        <f>P33+(1.07)*(1.1)*($Z$2*tc-$AU$3)</f>
        <v>28.206585124999389</v>
      </c>
      <c r="AL33" s="17">
        <f>Q33+(1.07)*(1.1)*($AA$2*tc-$AV$3)</f>
        <v>53.105325078126128</v>
      </c>
      <c r="AM33" s="17">
        <f>R33+(1.07)*(1.1)*($AB$2*tc-$AW$3)</f>
        <v>14.374972983735546</v>
      </c>
      <c r="AN33" s="17">
        <f>S33+(1.07)*(1.1)*($AC$2*tc-$AX$3)</f>
        <v>17.158773220003972</v>
      </c>
      <c r="AO33" s="17">
        <f>T33+(1.07)*(1.1)*($AD$2*tc-$AY$3)</f>
        <v>56.095193290864316</v>
      </c>
      <c r="AQ33" s="17">
        <f t="shared" si="10"/>
        <v>216069.42178269519</v>
      </c>
      <c r="AR33" s="17">
        <f t="shared" si="11"/>
        <v>6999042.1308339424</v>
      </c>
      <c r="AS33" s="17">
        <f t="shared" si="12"/>
        <v>4943994.3955225889</v>
      </c>
      <c r="AT33" s="17">
        <f t="shared" si="13"/>
        <v>2135427.7584728748</v>
      </c>
      <c r="AU33" s="17">
        <f t="shared" si="14"/>
        <v>283744.48431853828</v>
      </c>
      <c r="AV33" s="17">
        <f t="shared" si="15"/>
        <v>20163172.39696534</v>
      </c>
      <c r="AW33" s="17">
        <f t="shared" si="16"/>
        <v>7611920.7496292945</v>
      </c>
      <c r="AX33" s="17">
        <f t="shared" si="17"/>
        <v>8174197.7039390169</v>
      </c>
      <c r="AY33" s="17">
        <f t="shared" si="18"/>
        <v>433.80070758703096</v>
      </c>
      <c r="BA33">
        <f t="shared" si="19"/>
        <v>127269.70345672479</v>
      </c>
      <c r="BB33">
        <f t="shared" si="20"/>
        <v>3710332.5783478804</v>
      </c>
      <c r="BC33">
        <f t="shared" si="21"/>
        <v>2620910.5660421434</v>
      </c>
      <c r="BD33">
        <f t="shared" si="22"/>
        <v>1006251.6216567856</v>
      </c>
      <c r="BE33">
        <f t="shared" si="23"/>
        <v>25069.77346360945</v>
      </c>
      <c r="BF33">
        <f t="shared" si="24"/>
        <v>14685386.088472158</v>
      </c>
      <c r="BG33">
        <f t="shared" si="25"/>
        <v>3467798.3596977261</v>
      </c>
      <c r="BH33">
        <f t="shared" si="26"/>
        <v>4719519.1990241371</v>
      </c>
      <c r="BI33">
        <f t="shared" si="27"/>
        <v>360.38233674583898</v>
      </c>
      <c r="BJ33">
        <f t="shared" si="28"/>
        <v>30362898.272497911</v>
      </c>
      <c r="BK33" s="44">
        <f t="shared" si="29"/>
        <v>0.89945640811110439</v>
      </c>
    </row>
    <row r="34" spans="1:63" x14ac:dyDescent="0.25">
      <c r="A34" s="29">
        <v>2037</v>
      </c>
      <c r="B34" s="16">
        <v>193000.65414685308</v>
      </c>
      <c r="C34" s="16">
        <v>6904392.128625161</v>
      </c>
      <c r="D34" s="16">
        <v>4938359.1629757639</v>
      </c>
      <c r="E34" s="16">
        <v>2177141.5627759392</v>
      </c>
      <c r="F34" s="16">
        <v>302987.7806818664</v>
      </c>
      <c r="G34" s="16">
        <v>20516992.46750674</v>
      </c>
      <c r="H34" s="16">
        <v>9870138.2303808574</v>
      </c>
      <c r="I34" s="16">
        <v>14066847.865467947</v>
      </c>
      <c r="J34" s="31">
        <v>450.66252271872133</v>
      </c>
      <c r="K34" s="36"/>
      <c r="L34" s="71">
        <f t="shared" si="66"/>
        <v>65.444072054063085</v>
      </c>
      <c r="M34" s="71">
        <f t="shared" si="67"/>
        <v>43.259173154678095</v>
      </c>
      <c r="N34" s="71">
        <f t="shared" si="68"/>
        <v>50.492267098578758</v>
      </c>
      <c r="O34" s="71">
        <f t="shared" si="69"/>
        <v>43.15783002434555</v>
      </c>
      <c r="P34" s="71">
        <f t="shared" si="70"/>
        <v>28.924234040522059</v>
      </c>
      <c r="Q34" s="71">
        <f t="shared" si="71"/>
        <v>52.649140135363488</v>
      </c>
      <c r="R34" s="71">
        <f t="shared" si="72"/>
        <v>12.223733066764694</v>
      </c>
      <c r="S34" s="71">
        <f t="shared" si="73"/>
        <v>11.176864239888122</v>
      </c>
      <c r="T34" s="71">
        <f t="shared" si="74"/>
        <v>50.030791224565107</v>
      </c>
      <c r="V34" s="44">
        <f t="shared" si="57"/>
        <v>113681.68534707086</v>
      </c>
      <c r="W34" s="44">
        <f t="shared" si="58"/>
        <v>3660156.7142551611</v>
      </c>
      <c r="X34" s="44">
        <f t="shared" si="59"/>
        <v>2617923.2162713883</v>
      </c>
      <c r="Y34" s="44">
        <f t="shared" si="60"/>
        <v>1025907.9097512375</v>
      </c>
      <c r="Z34" s="44">
        <f t="shared" si="61"/>
        <v>26769.983008405936</v>
      </c>
      <c r="AA34" s="44">
        <f t="shared" si="62"/>
        <v>14943082.855600575</v>
      </c>
      <c r="AB34" s="44">
        <f t="shared" si="63"/>
        <v>4496585.065861525</v>
      </c>
      <c r="AC34" s="44">
        <f t="shared" si="64"/>
        <v>8121746.1303677531</v>
      </c>
      <c r="AD34" s="44">
        <f t="shared" si="65"/>
        <v>374.39038291232845</v>
      </c>
      <c r="AE34" s="44">
        <f t="shared" si="9"/>
        <v>35006227.950846031</v>
      </c>
      <c r="AG34" s="17">
        <f>L34+(1.07)*(1.1)*($V$2*tc-$AQ$3)</f>
        <v>63.357033975194092</v>
      </c>
      <c r="AH34" s="17">
        <f>M34+(1.07)*(1.1)*($W$2*tc-$AR$3)</f>
        <v>41.380838883696001</v>
      </c>
      <c r="AI34" s="17">
        <f>N34+(1.07)*(1.1)*($X$2*tc-$AS$3)</f>
        <v>48.613932827596663</v>
      </c>
      <c r="AJ34" s="17">
        <f>O34+(1.07)*(1.1)*($Y$2*tc-$AT$3)</f>
        <v>41.488199561250354</v>
      </c>
      <c r="AK34" s="17">
        <f>P34+(1.07)*(1.1)*($Z$2*tc-$AU$3)</f>
        <v>28.611178328691711</v>
      </c>
      <c r="AL34" s="17">
        <f>Q34+(1.07)*(1.1)*($AA$2*tc-$AV$3)</f>
        <v>54.006182652230407</v>
      </c>
      <c r="AM34" s="17">
        <f>R34+(1.07)*(1.1)*($AB$2*tc-$AW$3)</f>
        <v>14.427829944842452</v>
      </c>
      <c r="AN34" s="17">
        <f>S34+(1.07)*(1.1)*($AC$2*tc-$AX$3)</f>
        <v>17.207103388472003</v>
      </c>
      <c r="AO34" s="17">
        <f>T34+(1.07)*(1.1)*($AD$2*tc-$AY$3)</f>
        <v>57.55240080225942</v>
      </c>
      <c r="AQ34" s="17">
        <f t="shared" si="10"/>
        <v>200334.35476562358</v>
      </c>
      <c r="AR34" s="17">
        <f t="shared" si="11"/>
        <v>7069419.671354753</v>
      </c>
      <c r="AS34" s="17">
        <f t="shared" si="12"/>
        <v>5158553.3812649092</v>
      </c>
      <c r="AT34" s="17">
        <f t="shared" si="13"/>
        <v>2278263.3661900503</v>
      </c>
      <c r="AU34" s="17">
        <f t="shared" si="14"/>
        <v>306805.7279238996</v>
      </c>
      <c r="AV34" s="17">
        <f t="shared" si="15"/>
        <v>20164177.915383749</v>
      </c>
      <c r="AW34" s="17">
        <f t="shared" si="16"/>
        <v>8291490.805839113</v>
      </c>
      <c r="AX34" s="17">
        <f t="shared" si="17"/>
        <v>8937087.3855282478</v>
      </c>
      <c r="AY34" s="17">
        <f t="shared" si="18"/>
        <v>433.76857981639711</v>
      </c>
      <c r="BA34">
        <f t="shared" si="19"/>
        <v>118001.39840637647</v>
      </c>
      <c r="BB34">
        <f t="shared" si="20"/>
        <v>3747641.1237884047</v>
      </c>
      <c r="BC34">
        <f t="shared" si="21"/>
        <v>2734652.5867209295</v>
      </c>
      <c r="BD34">
        <f t="shared" si="22"/>
        <v>1073558.3059149906</v>
      </c>
      <c r="BE34">
        <f t="shared" si="23"/>
        <v>27107.311406819252</v>
      </c>
      <c r="BF34">
        <f t="shared" si="24"/>
        <v>14686118.434846165</v>
      </c>
      <c r="BG34">
        <f t="shared" si="25"/>
        <v>3777393.270593096</v>
      </c>
      <c r="BH34">
        <f t="shared" si="26"/>
        <v>5159987.1971571865</v>
      </c>
      <c r="BI34">
        <f t="shared" si="27"/>
        <v>360.35564642271834</v>
      </c>
      <c r="BJ34">
        <f t="shared" si="28"/>
        <v>31324819.984480388</v>
      </c>
      <c r="BK34" s="44">
        <f t="shared" si="29"/>
        <v>0.89483562834776464</v>
      </c>
    </row>
    <row r="35" spans="1:63" x14ac:dyDescent="0.25">
      <c r="A35" s="29">
        <v>2038</v>
      </c>
      <c r="B35" s="16">
        <v>176623.56682035359</v>
      </c>
      <c r="C35" s="16">
        <v>6975588.049769586</v>
      </c>
      <c r="D35" s="16">
        <v>5154733.9349070238</v>
      </c>
      <c r="E35" s="16">
        <v>2323781.5706524914</v>
      </c>
      <c r="F35" s="16">
        <v>327616.26605285896</v>
      </c>
      <c r="G35" s="16">
        <v>20511900.363818809</v>
      </c>
      <c r="H35" s="16">
        <v>10743868.556998765</v>
      </c>
      <c r="I35" s="16">
        <v>15355031.538911676</v>
      </c>
      <c r="J35" s="31">
        <v>450.022025859537</v>
      </c>
      <c r="K35" s="36"/>
      <c r="L35" s="71">
        <f t="shared" si="66"/>
        <v>66.372492819475781</v>
      </c>
      <c r="M35" s="71">
        <f t="shared" si="67"/>
        <v>43.713620688613887</v>
      </c>
      <c r="N35" s="71">
        <f t="shared" si="68"/>
        <v>51.208574440034511</v>
      </c>
      <c r="O35" s="71">
        <f t="shared" si="69"/>
        <v>43.770087549391569</v>
      </c>
      <c r="P35" s="71">
        <f t="shared" si="70"/>
        <v>29.334566996037015</v>
      </c>
      <c r="Q35" s="71">
        <f t="shared" si="71"/>
        <v>53.565680246716425</v>
      </c>
      <c r="R35" s="71">
        <f t="shared" si="72"/>
        <v>12.276819580642758</v>
      </c>
      <c r="S35" s="71">
        <f t="shared" si="73"/>
        <v>11.225404301696024</v>
      </c>
      <c r="T35" s="71">
        <f t="shared" si="74"/>
        <v>51.531714961302065</v>
      </c>
      <c r="V35" s="44">
        <f t="shared" si="57"/>
        <v>104035.21603025703</v>
      </c>
      <c r="W35" s="44">
        <f t="shared" si="58"/>
        <v>3697899.0996744316</v>
      </c>
      <c r="X35" s="44">
        <f t="shared" si="59"/>
        <v>2732627.8216190762</v>
      </c>
      <c r="Y35" s="44">
        <f t="shared" si="60"/>
        <v>1095007.2951741694</v>
      </c>
      <c r="Z35" s="44">
        <f t="shared" si="61"/>
        <v>28945.99199933124</v>
      </c>
      <c r="AA35" s="44">
        <f t="shared" si="62"/>
        <v>14939374.138183119</v>
      </c>
      <c r="AB35" s="44">
        <f t="shared" si="63"/>
        <v>4894634.4798167739</v>
      </c>
      <c r="AC35" s="44">
        <f t="shared" si="64"/>
        <v>8865502.0069545712</v>
      </c>
      <c r="AD35" s="44">
        <f t="shared" si="65"/>
        <v>373.8582866046134</v>
      </c>
      <c r="AE35" s="44">
        <f t="shared" si="9"/>
        <v>36358399.907738335</v>
      </c>
      <c r="AG35" s="17">
        <f>L35+(1.07)*(1.1)*($V$2*tc-$AQ$3)</f>
        <v>64.285454740606781</v>
      </c>
      <c r="AH35" s="17">
        <f>M35+(1.07)*(1.1)*($W$2*tc-$AR$3)</f>
        <v>41.835286417631792</v>
      </c>
      <c r="AI35" s="17">
        <f>N35+(1.07)*(1.1)*($X$2*tc-$AS$3)</f>
        <v>49.330240169052416</v>
      </c>
      <c r="AJ35" s="17">
        <f>O35+(1.07)*(1.1)*($Y$2*tc-$AT$3)</f>
        <v>42.100457086296373</v>
      </c>
      <c r="AK35" s="17">
        <f>P35+(1.07)*(1.1)*($Z$2*tc-$AU$3)</f>
        <v>29.021511284206667</v>
      </c>
      <c r="AL35" s="17">
        <f>Q35+(1.07)*(1.1)*($AA$2*tc-$AV$3)</f>
        <v>54.922722763583344</v>
      </c>
      <c r="AM35" s="17">
        <f>R35+(1.07)*(1.1)*($AB$2*tc-$AW$3)</f>
        <v>14.480916458720516</v>
      </c>
      <c r="AN35" s="17">
        <f>S35+(1.07)*(1.1)*($AC$2*tc-$AX$3)</f>
        <v>17.255643450279905</v>
      </c>
      <c r="AO35" s="17">
        <f>T35+(1.07)*(1.1)*($AD$2*tc-$AY$3)</f>
        <v>59.053324538996378</v>
      </c>
      <c r="AQ35" s="17">
        <f t="shared" si="10"/>
        <v>183237.80630101732</v>
      </c>
      <c r="AR35" s="17">
        <f t="shared" si="11"/>
        <v>7140524.5700301817</v>
      </c>
      <c r="AS35" s="17">
        <f t="shared" si="12"/>
        <v>5381229.1852430617</v>
      </c>
      <c r="AT35" s="17">
        <f t="shared" si="13"/>
        <v>2430140.1538046645</v>
      </c>
      <c r="AU35" s="17">
        <f t="shared" si="14"/>
        <v>331686.13999013678</v>
      </c>
      <c r="AV35" s="17">
        <f t="shared" si="15"/>
        <v>20165083.195266243</v>
      </c>
      <c r="AW35" s="17">
        <f t="shared" si="16"/>
        <v>9031747.3416694589</v>
      </c>
      <c r="AX35" s="17">
        <f t="shared" si="17"/>
        <v>9771074.8445452377</v>
      </c>
      <c r="AY35" s="17">
        <f t="shared" si="18"/>
        <v>433.60298256706574</v>
      </c>
      <c r="BA35">
        <f t="shared" si="19"/>
        <v>107931.15044962359</v>
      </c>
      <c r="BB35">
        <f t="shared" si="20"/>
        <v>3785335.2563716774</v>
      </c>
      <c r="BC35">
        <f t="shared" si="21"/>
        <v>2852697.4955049697</v>
      </c>
      <c r="BD35">
        <f t="shared" si="22"/>
        <v>1145125.3552908592</v>
      </c>
      <c r="BE35">
        <f t="shared" si="23"/>
        <v>29305.578963208431</v>
      </c>
      <c r="BF35">
        <f t="shared" si="24"/>
        <v>14686777.774771988</v>
      </c>
      <c r="BG35">
        <f t="shared" si="25"/>
        <v>4114635.4050219143</v>
      </c>
      <c r="BH35">
        <f t="shared" si="26"/>
        <v>5641504.7683164133</v>
      </c>
      <c r="BI35">
        <f t="shared" si="27"/>
        <v>360.21807559208349</v>
      </c>
      <c r="BJ35">
        <f t="shared" si="28"/>
        <v>32363673.002766244</v>
      </c>
      <c r="BK35" s="44">
        <f t="shared" si="29"/>
        <v>0.89012918843763877</v>
      </c>
    </row>
    <row r="36" spans="1:63" x14ac:dyDescent="0.25">
      <c r="A36" s="29">
        <v>2039</v>
      </c>
      <c r="B36" s="16">
        <v>158852.34327188824</v>
      </c>
      <c r="C36" s="16">
        <v>7047518.1208714694</v>
      </c>
      <c r="D36" s="16">
        <v>5379341.982743253</v>
      </c>
      <c r="E36" s="16">
        <v>2479750.2163355937</v>
      </c>
      <c r="F36" s="16">
        <v>354186.25214629917</v>
      </c>
      <c r="G36" s="16">
        <v>20506809.523937866</v>
      </c>
      <c r="H36" s="16">
        <v>11694994.88476493</v>
      </c>
      <c r="I36" s="16">
        <v>16761082.840574777</v>
      </c>
      <c r="J36" s="31">
        <v>449.18801517857185</v>
      </c>
      <c r="K36" s="36"/>
      <c r="L36" s="71">
        <f t="shared" si="66"/>
        <v>67.314084603906622</v>
      </c>
      <c r="M36" s="71">
        <f t="shared" si="67"/>
        <v>44.172842298104975</v>
      </c>
      <c r="N36" s="71">
        <f t="shared" si="68"/>
        <v>51.935043658484652</v>
      </c>
      <c r="O36" s="71">
        <f t="shared" si="69"/>
        <v>44.391030851196149</v>
      </c>
      <c r="P36" s="71">
        <f t="shared" si="70"/>
        <v>29.750721130226772</v>
      </c>
      <c r="Q36" s="71">
        <f t="shared" si="71"/>
        <v>54.498175904039513</v>
      </c>
      <c r="R36" s="71">
        <f t="shared" si="72"/>
        <v>12.330136644217902</v>
      </c>
      <c r="S36" s="71">
        <f t="shared" si="73"/>
        <v>11.274155168390676</v>
      </c>
      <c r="T36" s="71">
        <f t="shared" si="74"/>
        <v>53.077666410141127</v>
      </c>
      <c r="V36" s="44">
        <f t="shared" si="57"/>
        <v>93567.569417350271</v>
      </c>
      <c r="W36" s="44">
        <f t="shared" si="58"/>
        <v>3736030.6727073258</v>
      </c>
      <c r="X36" s="44">
        <f t="shared" si="59"/>
        <v>2851697.0516176363</v>
      </c>
      <c r="Y36" s="44">
        <f t="shared" si="60"/>
        <v>1168502.5010051876</v>
      </c>
      <c r="Z36" s="44">
        <f t="shared" si="61"/>
        <v>31293.539067580205</v>
      </c>
      <c r="AA36" s="44">
        <f t="shared" si="62"/>
        <v>14935666.341230618</v>
      </c>
      <c r="AB36" s="44">
        <f t="shared" si="63"/>
        <v>5327943.55222842</v>
      </c>
      <c r="AC36" s="44">
        <f t="shared" si="64"/>
        <v>9677310.8661670368</v>
      </c>
      <c r="AD36" s="44">
        <f t="shared" si="65"/>
        <v>373.16542761932254</v>
      </c>
      <c r="AE36" s="44">
        <f t="shared" si="9"/>
        <v>37822385.258868776</v>
      </c>
      <c r="AG36" s="17">
        <f>L36+(1.07)*(1.1)*($V$2*tc-$AQ$3)</f>
        <v>65.227046525037622</v>
      </c>
      <c r="AH36" s="17">
        <f>M36+(1.07)*(1.1)*($W$2*tc-$AR$3)</f>
        <v>42.29450802712288</v>
      </c>
      <c r="AI36" s="17">
        <f>N36+(1.07)*(1.1)*($X$2*tc-$AS$3)</f>
        <v>50.056709387502558</v>
      </c>
      <c r="AJ36" s="17">
        <f>O36+(1.07)*(1.1)*($Y$2*tc-$AT$3)</f>
        <v>42.721400388100953</v>
      </c>
      <c r="AK36" s="17">
        <f>P36+(1.07)*(1.1)*($Z$2*tc-$AU$3)</f>
        <v>29.437665418396424</v>
      </c>
      <c r="AL36" s="17">
        <f>Q36+(1.07)*(1.1)*($AA$2*tc-$AV$3)</f>
        <v>55.855218420906432</v>
      </c>
      <c r="AM36" s="17">
        <f>R36+(1.07)*(1.1)*($AB$2*tc-$AW$3)</f>
        <v>14.53423352229566</v>
      </c>
      <c r="AN36" s="17">
        <f>S36+(1.07)*(1.1)*($AC$2*tc-$AX$3)</f>
        <v>17.304394316974555</v>
      </c>
      <c r="AO36" s="17">
        <f>T36+(1.07)*(1.1)*($AD$2*tc-$AY$3)</f>
        <v>60.599275987835441</v>
      </c>
      <c r="AQ36" s="17">
        <f t="shared" si="10"/>
        <v>164715.00545194463</v>
      </c>
      <c r="AR36" s="17">
        <f t="shared" si="11"/>
        <v>7212364.3114964645</v>
      </c>
      <c r="AS36" s="17">
        <f t="shared" si="12"/>
        <v>5612266.5389618827</v>
      </c>
      <c r="AT36" s="17">
        <f t="shared" si="13"/>
        <v>2591593.0361850676</v>
      </c>
      <c r="AU36" s="17">
        <f t="shared" si="14"/>
        <v>358523.94607252837</v>
      </c>
      <c r="AV36" s="17">
        <f t="shared" si="15"/>
        <v>20165889.854344241</v>
      </c>
      <c r="AW36" s="17">
        <f t="shared" si="16"/>
        <v>9838111.2266060449</v>
      </c>
      <c r="AX36" s="17">
        <f t="shared" si="17"/>
        <v>10682777.022839211</v>
      </c>
      <c r="AY36" s="17">
        <f t="shared" si="18"/>
        <v>433.23844519475972</v>
      </c>
      <c r="BA36">
        <f t="shared" si="19"/>
        <v>97020.808061516858</v>
      </c>
      <c r="BB36">
        <f t="shared" si="20"/>
        <v>3823418.94385345</v>
      </c>
      <c r="BC36">
        <f t="shared" si="21"/>
        <v>2975175.0294723334</v>
      </c>
      <c r="BD36">
        <f t="shared" si="22"/>
        <v>1221204.8312046807</v>
      </c>
      <c r="BE36">
        <f t="shared" si="23"/>
        <v>31676.788822535658</v>
      </c>
      <c r="BF36">
        <f t="shared" si="24"/>
        <v>14687365.286487354</v>
      </c>
      <c r="BG36">
        <f t="shared" si="25"/>
        <v>4481994.3738654563</v>
      </c>
      <c r="BH36">
        <f t="shared" si="26"/>
        <v>6167892.322189386</v>
      </c>
      <c r="BI36">
        <f t="shared" si="27"/>
        <v>359.91523415414861</v>
      </c>
      <c r="BJ36">
        <f t="shared" si="28"/>
        <v>33486108.299190868</v>
      </c>
      <c r="BK36" s="44">
        <f t="shared" si="29"/>
        <v>0.88535157341349546</v>
      </c>
    </row>
    <row r="37" spans="1:63" x14ac:dyDescent="0.25">
      <c r="A37" s="29">
        <v>2040</v>
      </c>
      <c r="B37" s="16">
        <v>139620.90677923601</v>
      </c>
      <c r="C37" s="16">
        <v>7120189.9122543857</v>
      </c>
      <c r="D37" s="16">
        <v>5612431.7820296092</v>
      </c>
      <c r="E37" s="16">
        <v>2645601.1109217149</v>
      </c>
      <c r="F37" s="16">
        <v>382845.0466649193</v>
      </c>
      <c r="G37" s="16">
        <v>20501719.947550397</v>
      </c>
      <c r="H37" s="16">
        <v>12730377.488700241</v>
      </c>
      <c r="I37" s="16">
        <v>18295778.204559337</v>
      </c>
      <c r="J37" s="31">
        <v>448.21215360570693</v>
      </c>
      <c r="K37" s="36"/>
      <c r="L37" s="71">
        <f t="shared" si="66"/>
        <v>68.269034257702401</v>
      </c>
      <c r="M37" s="71">
        <f t="shared" si="67"/>
        <v>44.636888135909842</v>
      </c>
      <c r="N37" s="71">
        <f t="shared" si="68"/>
        <v>52.671818915154496</v>
      </c>
      <c r="O37" s="71">
        <f t="shared" si="69"/>
        <v>45.020783150323865</v>
      </c>
      <c r="P37" s="71">
        <f t="shared" si="70"/>
        <v>30.172779025103591</v>
      </c>
      <c r="Q37" s="71">
        <f t="shared" si="71"/>
        <v>55.446904868713901</v>
      </c>
      <c r="R37" s="71">
        <f t="shared" si="72"/>
        <v>12.383685258745603</v>
      </c>
      <c r="S37" s="71">
        <f t="shared" si="73"/>
        <v>11.323117755477718</v>
      </c>
      <c r="T37" s="71">
        <f>T36*(1+$T$2)</f>
        <v>54.669996402445364</v>
      </c>
      <c r="V37" s="44">
        <f t="shared" si="57"/>
        <v>82239.824846773059</v>
      </c>
      <c r="W37" s="44">
        <f t="shared" si="58"/>
        <v>3774555.4465341703</v>
      </c>
      <c r="X37" s="44">
        <f t="shared" si="59"/>
        <v>2975262.628135989</v>
      </c>
      <c r="Y37" s="44">
        <f t="shared" si="60"/>
        <v>1246654.3986605131</v>
      </c>
      <c r="Z37" s="44">
        <f t="shared" si="61"/>
        <v>33825.639340991576</v>
      </c>
      <c r="AA37" s="44">
        <f t="shared" si="62"/>
        <v>14931959.464514729</v>
      </c>
      <c r="AB37" s="44">
        <f t="shared" si="63"/>
        <v>5799637.6506938161</v>
      </c>
      <c r="AC37" s="44">
        <f t="shared" si="64"/>
        <v>10563394.674916631</v>
      </c>
      <c r="AD37" s="44">
        <f t="shared" si="65"/>
        <v>372.35472522115055</v>
      </c>
      <c r="AE37" s="44">
        <f t="shared" si="9"/>
        <v>39407902.082368828</v>
      </c>
      <c r="AG37" s="17">
        <f>L37+(1.07)*(1.1)*($V$2*tc-$AQ$3)</f>
        <v>66.181996178833401</v>
      </c>
      <c r="AH37" s="17">
        <f>M37+(1.07)*(1.1)*($W$2*tc-$AR$3)</f>
        <v>42.758553864927748</v>
      </c>
      <c r="AI37" s="17">
        <f>N37+(1.07)*(1.1)*($X$2*tc-$AS$3)</f>
        <v>50.793484644172402</v>
      </c>
      <c r="AJ37" s="17">
        <f>O37+(1.07)*(1.1)*($Y$2*tc-$AT$3)</f>
        <v>43.351152687228669</v>
      </c>
      <c r="AK37" s="17">
        <f>P37+(1.07)*(1.1)*($Z$2*tc-$AU$3)</f>
        <v>29.859723313273243</v>
      </c>
      <c r="AL37" s="17">
        <f>Q37+(1.07)*(1.1)*($AA$2*tc-$AV$3)</f>
        <v>56.80394738558082</v>
      </c>
      <c r="AM37" s="17">
        <f>R37+(1.07)*(1.1)*($AB$2*tc-$AW$3)</f>
        <v>14.58778213682336</v>
      </c>
      <c r="AN37" s="17">
        <f>S37+(1.07)*(1.1)*($AC$2*tc-$AX$3)</f>
        <v>17.353356904061599</v>
      </c>
      <c r="AO37" s="17">
        <f>T37+(1.07)*(1.1)*($AD$2*tc-$AY$3)</f>
        <v>62.191605980139677</v>
      </c>
      <c r="AQ37" s="17">
        <f t="shared" si="10"/>
        <v>144699.28150120866</v>
      </c>
      <c r="AR37" s="17">
        <f t="shared" si="11"/>
        <v>7284946.4577690596</v>
      </c>
      <c r="AS37" s="17">
        <f t="shared" si="12"/>
        <v>5851914.4504546756</v>
      </c>
      <c r="AT37" s="17">
        <f t="shared" si="13"/>
        <v>2763185.9252146399</v>
      </c>
      <c r="AU37" s="17">
        <f t="shared" si="14"/>
        <v>387467.39783595124</v>
      </c>
      <c r="AV37" s="17">
        <f t="shared" si="15"/>
        <v>20166599.486934211</v>
      </c>
      <c r="AW37" s="17">
        <f t="shared" si="16"/>
        <v>10716487.688170323</v>
      </c>
      <c r="AX37" s="17">
        <f t="shared" si="17"/>
        <v>11679425.887412112</v>
      </c>
      <c r="AY37" s="17">
        <f t="shared" si="18"/>
        <v>432.72455580722095</v>
      </c>
      <c r="BA37">
        <f t="shared" si="19"/>
        <v>85231.100704203753</v>
      </c>
      <c r="BB37">
        <f t="shared" si="20"/>
        <v>3861896.1950097498</v>
      </c>
      <c r="BC37">
        <f t="shared" si="21"/>
        <v>3102217.1927745841</v>
      </c>
      <c r="BD37">
        <f t="shared" si="22"/>
        <v>1302062.4589870693</v>
      </c>
      <c r="BE37">
        <f t="shared" si="23"/>
        <v>34234.039514849857</v>
      </c>
      <c r="BF37">
        <f t="shared" si="24"/>
        <v>14687882.13117625</v>
      </c>
      <c r="BG37">
        <f t="shared" si="25"/>
        <v>4882160.4492621347</v>
      </c>
      <c r="BH37">
        <f t="shared" si="26"/>
        <v>6743325.3642322496</v>
      </c>
      <c r="BI37">
        <f t="shared" si="27"/>
        <v>359.48831770364245</v>
      </c>
      <c r="BJ37">
        <f t="shared" si="28"/>
        <v>34699368.419978797</v>
      </c>
      <c r="BK37" s="44">
        <f t="shared" si="29"/>
        <v>0.88051803284152397</v>
      </c>
    </row>
    <row r="38" spans="1:63" x14ac:dyDescent="0.25">
      <c r="AD38" s="17" t="s">
        <v>53</v>
      </c>
      <c r="AE38" s="44">
        <f>SUM(AE28:AE37)</f>
        <v>335460078.494129</v>
      </c>
      <c r="BG38" s="17" t="s">
        <v>46</v>
      </c>
      <c r="BH38" s="72">
        <v>8.8737100000000009</v>
      </c>
      <c r="BI38" s="17" t="s">
        <v>53</v>
      </c>
      <c r="BJ38" s="17">
        <f>SUM(BJ28:BJ37)</f>
        <v>301914020.69381547</v>
      </c>
      <c r="BK38" s="44">
        <f>BJ38/AE38</f>
        <v>0.89999985109733216</v>
      </c>
    </row>
  </sheetData>
  <mergeCells count="6">
    <mergeCell ref="AQ4:AY4"/>
    <mergeCell ref="BA1:BK1"/>
    <mergeCell ref="V1:AE1"/>
    <mergeCell ref="B1:J1"/>
    <mergeCell ref="AQ2:AY2"/>
    <mergeCell ref="AQ1:AY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Elasticities</vt:lpstr>
      <vt:lpstr>Simulation</vt:lpstr>
      <vt:lpstr>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tulib</cp:lastModifiedBy>
  <dcterms:created xsi:type="dcterms:W3CDTF">2020-09-16T04:16:21Z</dcterms:created>
  <dcterms:modified xsi:type="dcterms:W3CDTF">2020-09-23T13:38:15Z</dcterms:modified>
</cp:coreProperties>
</file>